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8_{EFAF9747-5CC3-4193-A93A-7ED71D5B2DD3}" xr6:coauthVersionLast="47" xr6:coauthVersionMax="47" xr10:uidLastSave="{00000000-0000-0000-0000-000000000000}"/>
  <bookViews>
    <workbookView xWindow="-120" yWindow="-16320" windowWidth="29040" windowHeight="15720" activeTab="2" xr2:uid="{00000000-000D-0000-FFFF-FFFF00000000}"/>
  </bookViews>
  <sheets>
    <sheet name="Budget Flusso di cassa" sheetId="1" r:id="rId1"/>
    <sheet name="Contratti depositati" sheetId="3" r:id="rId2"/>
    <sheet name="Grafico Flusso di cassa" sheetId="2" r:id="rId3"/>
  </sheets>
  <definedNames>
    <definedName name="Cash_beginning">'Budget Flusso di cassa'!$C$7</definedName>
    <definedName name="Cash_minimum">'Budget Flusso di cassa'!$C$4</definedName>
    <definedName name="Data_iniziale">'Budget Flusso di cassa'!$C$3</definedName>
    <definedName name="Nome_Società">'Budget Flusso di cassa'!$B$2</definedName>
    <definedName name="_xlnm.Print_Titles" localSheetId="0">'Budget Flusso di cassa'!$6:$6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D20" i="1"/>
  <c r="D17" i="3"/>
  <c r="D20" i="3" s="1"/>
  <c r="P18" i="1" l="1"/>
  <c r="P16" i="1"/>
  <c r="P17" i="1"/>
  <c r="P13" i="1"/>
  <c r="P47" i="1" l="1"/>
  <c r="P48" i="1"/>
  <c r="P49" i="1"/>
  <c r="P50" i="1"/>
  <c r="P11" i="1"/>
  <c r="P12" i="1"/>
  <c r="P14" i="1"/>
  <c r="P15" i="1"/>
  <c r="P19" i="1"/>
  <c r="O4" i="1" l="1"/>
  <c r="N4" i="1"/>
  <c r="M4" i="1"/>
  <c r="L4" i="1"/>
  <c r="K4" i="1"/>
  <c r="J4" i="1"/>
  <c r="I4" i="1"/>
  <c r="H4" i="1"/>
  <c r="G4" i="1"/>
  <c r="F4" i="1"/>
  <c r="E4" i="1"/>
  <c r="D4" i="1"/>
  <c r="C3" i="1" l="1"/>
  <c r="C21" i="1" l="1"/>
  <c r="C52" i="1" s="1"/>
  <c r="D7" i="1" l="1"/>
  <c r="D21" i="1" s="1"/>
  <c r="D37" i="2" l="1"/>
  <c r="P10" i="1" l="1"/>
  <c r="P46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24" i="1"/>
  <c r="D44" i="1" l="1"/>
  <c r="D51" i="1" s="1"/>
  <c r="F44" i="1"/>
  <c r="F51" i="1" s="1"/>
  <c r="K44" i="1"/>
  <c r="K51" i="1" s="1"/>
  <c r="E44" i="1"/>
  <c r="E51" i="1" s="1"/>
  <c r="J44" i="1"/>
  <c r="J51" i="1" s="1"/>
  <c r="N44" i="1"/>
  <c r="N51" i="1" s="1"/>
  <c r="I44" i="1"/>
  <c r="I51" i="1" s="1"/>
  <c r="O44" i="1"/>
  <c r="O51" i="1" s="1"/>
  <c r="H44" i="1"/>
  <c r="H51" i="1" s="1"/>
  <c r="L44" i="1"/>
  <c r="L51" i="1" s="1"/>
  <c r="M44" i="1"/>
  <c r="M51" i="1" s="1"/>
  <c r="G44" i="1"/>
  <c r="G51" i="1" s="1"/>
  <c r="P51" i="1" l="1"/>
  <c r="P20" i="1" s="1"/>
  <c r="D52" i="1"/>
  <c r="E7" i="1" s="1"/>
  <c r="E21" i="1" s="1"/>
  <c r="E52" i="1" s="1"/>
  <c r="F7" i="1" s="1"/>
  <c r="F21" i="1" s="1"/>
  <c r="F52" i="1" s="1"/>
  <c r="G7" i="1" s="1"/>
  <c r="G21" i="1" s="1"/>
  <c r="G52" i="1" s="1"/>
  <c r="H7" i="1" s="1"/>
  <c r="H21" i="1" s="1"/>
  <c r="H52" i="1" s="1"/>
  <c r="I7" i="1" s="1"/>
  <c r="I21" i="1" s="1"/>
  <c r="I52" i="1" s="1"/>
  <c r="J7" i="1" s="1"/>
  <c r="J21" i="1" s="1"/>
  <c r="J52" i="1" s="1"/>
  <c r="K7" i="1" s="1"/>
  <c r="K21" i="1" s="1"/>
  <c r="K52" i="1" s="1"/>
  <c r="L7" i="1" s="1"/>
  <c r="L21" i="1" s="1"/>
  <c r="L52" i="1" s="1"/>
  <c r="M7" i="1" s="1"/>
  <c r="M21" i="1" s="1"/>
  <c r="M52" i="1" s="1"/>
  <c r="N7" i="1" s="1"/>
  <c r="N21" i="1" s="1"/>
  <c r="N52" i="1" s="1"/>
  <c r="O7" i="1" s="1"/>
  <c r="P44" i="1"/>
  <c r="O21" i="1" l="1"/>
  <c r="O52" i="1" s="1"/>
</calcChain>
</file>

<file path=xl/sharedStrings.xml><?xml version="1.0" encoding="utf-8"?>
<sst xmlns="http://schemas.openxmlformats.org/spreadsheetml/2006/main" count="119" uniqueCount="76">
  <si>
    <t>Nome società</t>
  </si>
  <si>
    <t>Data di inizio</t>
  </si>
  <si>
    <t>Avviso minimo per il saldo di cassa</t>
  </si>
  <si>
    <t>Disponibilità di cassa (inizio mese)</t>
  </si>
  <si>
    <t>INCASSI</t>
  </si>
  <si>
    <t>INCASSI TOTALI</t>
  </si>
  <si>
    <t>Disponibilità di cassa totale</t>
  </si>
  <si>
    <t>USCITE DI CASSA</t>
  </si>
  <si>
    <t>Altre spese</t>
  </si>
  <si>
    <t>Varie</t>
  </si>
  <si>
    <t>SUBTOTALE</t>
  </si>
  <si>
    <t>TOTALE USCITE DI CASSA</t>
  </si>
  <si>
    <t>Disponibilità di cassa (fine del mese)</t>
  </si>
  <si>
    <t>Inizio</t>
  </si>
  <si>
    <t xml:space="preserve"> </t>
  </si>
  <si>
    <t>Totale</t>
  </si>
  <si>
    <t>Grafico combinato con Avviso minimo di disponibilità di cassa e proiezione del flusso di cassa nella cella.</t>
  </si>
  <si>
    <t>Ricavi da gare</t>
  </si>
  <si>
    <t>Proventi commerciali e diritti televisivi</t>
  </si>
  <si>
    <t>Data,</t>
  </si>
  <si>
    <t xml:space="preserve">               Il legale rappresentante</t>
  </si>
  <si>
    <t xml:space="preserve">                        ____________________________________</t>
  </si>
  <si>
    <t xml:space="preserve"> ____________________________________________</t>
  </si>
  <si>
    <t xml:space="preserve">                     (nome e cognome)</t>
  </si>
  <si>
    <t xml:space="preserve">    (nome e cognome)</t>
  </si>
  <si>
    <t xml:space="preserve">                       ____________________________________</t>
  </si>
  <si>
    <t>____________________________________________</t>
  </si>
  <si>
    <t xml:space="preserve">                   (timbro e firma)</t>
  </si>
  <si>
    <t xml:space="preserve">                                                   (timbro e firma)</t>
  </si>
  <si>
    <t>Costi materiale di consumo</t>
  </si>
  <si>
    <t>Costi specifici tecnici</t>
  </si>
  <si>
    <t>Servizio biglietteria e controllo ingressi</t>
  </si>
  <si>
    <t>Assicurazioni</t>
  </si>
  <si>
    <t>Amministrative, pubblicitarie, generali</t>
  </si>
  <si>
    <t>Oneri diversi di gestione</t>
  </si>
  <si>
    <t>Interessi ed altri oneri finanziari</t>
  </si>
  <si>
    <t>Imposte sul reddito di esercizio</t>
  </si>
  <si>
    <t>Costi per procuratori e agenzie estere</t>
  </si>
  <si>
    <t>Plusvalenze da buy-out</t>
  </si>
  <si>
    <t>Abbonamenti</t>
  </si>
  <si>
    <t>Altri ricavi (da specificare)</t>
  </si>
  <si>
    <t>Godimento beni di terzi</t>
  </si>
  <si>
    <t>Costi attività sportiva comprese giovanili</t>
  </si>
  <si>
    <r>
      <t xml:space="preserve">Proventi da sponsorizzazione </t>
    </r>
    <r>
      <rPr>
        <b/>
        <sz val="8"/>
        <rFont val="Arial"/>
        <family val="2"/>
      </rPr>
      <t>(da depositare)</t>
    </r>
  </si>
  <si>
    <r>
      <t xml:space="preserve">Proventi pubblicitari  </t>
    </r>
    <r>
      <rPr>
        <b/>
        <sz val="8"/>
        <rFont val="Arial"/>
        <family val="2"/>
      </rPr>
      <t>( da depositare)</t>
    </r>
  </si>
  <si>
    <t>Pagamento rateizzazioni AdE e INPS</t>
  </si>
  <si>
    <t xml:space="preserve">Rimborso rate debiti bancari e terzi (mutui etc) </t>
  </si>
  <si>
    <t xml:space="preserve">Costi vitto, alloggio tesserati </t>
  </si>
  <si>
    <t>trasferte gare nazionali ed internazionali</t>
  </si>
  <si>
    <t xml:space="preserve">Quote Associative FIP e Lega </t>
  </si>
  <si>
    <t>Finanziamenti da terzi e Banche</t>
  </si>
  <si>
    <t xml:space="preserve">Salari e stipendi netti </t>
  </si>
  <si>
    <t xml:space="preserve">Ammende gara </t>
  </si>
  <si>
    <t>Versamento IVA mensili</t>
  </si>
  <si>
    <t>Versamenti INPS mensili</t>
  </si>
  <si>
    <r>
      <t>Fin.ti/copertura perdita/aumenti cap. da Soci (</t>
    </r>
    <r>
      <rPr>
        <b/>
        <sz val="8"/>
        <rFont val="Arial"/>
        <family val="2"/>
      </rPr>
      <t>impegno versamento in verbale</t>
    </r>
    <r>
      <rPr>
        <sz val="8"/>
        <rFont val="Arial"/>
        <family val="2"/>
      </rPr>
      <t>)</t>
    </r>
  </si>
  <si>
    <t xml:space="preserve">Denominazione Sponsor </t>
  </si>
  <si>
    <t xml:space="preserve">Importo stagionale </t>
  </si>
  <si>
    <t>TOTALE</t>
  </si>
  <si>
    <t>Importo fideiussione da integrare per contratti sponsor</t>
  </si>
  <si>
    <t>Durata Contratto</t>
  </si>
  <si>
    <t>Versamenti IRPEF stipendi</t>
  </si>
  <si>
    <t>Il soggetto responsabile del controllo contabile/                                                                Il presidente del collegio sindacale/Il revisore /Il presidente del consiglio di sorveglianza</t>
  </si>
  <si>
    <t>lug-24</t>
  </si>
  <si>
    <t>ago-24</t>
  </si>
  <si>
    <t>set-24</t>
  </si>
  <si>
    <t>ott-24</t>
  </si>
  <si>
    <t>nov-24</t>
  </si>
  <si>
    <t>dic-24</t>
  </si>
  <si>
    <t>gen-25</t>
  </si>
  <si>
    <t>feb-25</t>
  </si>
  <si>
    <t>mar-25</t>
  </si>
  <si>
    <t>apr-25</t>
  </si>
  <si>
    <t>mag-25</t>
  </si>
  <si>
    <t>giu-25</t>
  </si>
  <si>
    <t>Budget e Proiezione del flusso di cassa stagione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</si>
</sst>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€&quot;_-;\-* #,##0\ &quot;€&quot;_-;_-* &quot;-&quot;\ &quot;€&quot;_-;_-@_-"/>
    <numFmt numFmtId="164" formatCode="_-&quot;€&quot;\ * #,##0_-;\-&quot;€&quot;\ * #,##0_-;_-&quot;€&quot;\ * &quot;-&quot;_-;_-@_-"/>
    <numFmt numFmtId="165" formatCode="_(* #,##0_);_(* \(#,##0\);_(* &quot;-&quot;_);_(@_)"/>
    <numFmt numFmtId="166" formatCode="_(* #,##0.00_);_(* \(#,##0.00\);_(* &quot;-&quot;??_);_(@_)"/>
    <numFmt numFmtId="167" formatCode="&quot;€&quot;\ #,##0"/>
    <numFmt numFmtId="168" formatCode="_-* #,##0.00\ [$€-410]_-;\-* #,##0.00\ [$€-410]_-;_-* &quot;-&quot;??\ [$€-410]_-;_-@_-"/>
    <numFmt numFmtId="169" formatCode="#,##0.00\ &quot;€&quot;"/>
  </numFmts>
  <fonts count="37" x14ac:knownFonts="1">
    <font>
      <sz val="8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0"/>
      <name val="Arial"/>
      <family val="2"/>
      <scheme val="minor"/>
    </font>
    <font>
      <sz val="8"/>
      <color theme="0"/>
      <name val="Arial"/>
      <family val="2"/>
      <scheme val="minor"/>
    </font>
    <font>
      <b/>
      <sz val="14"/>
      <color theme="1" tint="0.249977111117893"/>
      <name val="Arial"/>
      <family val="2"/>
      <scheme val="major"/>
    </font>
    <font>
      <b/>
      <sz val="8"/>
      <color theme="0"/>
      <name val="Arial"/>
      <family val="2"/>
      <scheme val="minor"/>
    </font>
    <font>
      <b/>
      <sz val="8"/>
      <color theme="0" tint="-0.249977111117893"/>
      <name val="Arial"/>
      <family val="2"/>
      <scheme val="minor"/>
    </font>
    <font>
      <b/>
      <sz val="8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8"/>
      <name val="Arial"/>
      <scheme val="minor"/>
    </font>
    <font>
      <sz val="10"/>
      <name val="Arial"/>
    </font>
    <font>
      <b/>
      <sz val="8"/>
      <name val="Arial"/>
      <family val="2"/>
    </font>
    <font>
      <sz val="8"/>
      <name val="Arial"/>
    </font>
    <font>
      <b/>
      <sz val="10"/>
      <color rgb="FFFF0000"/>
      <name val="Arial"/>
      <family val="2"/>
    </font>
    <font>
      <b/>
      <sz val="8"/>
      <name val="Arial"/>
      <scheme val="minor"/>
    </font>
    <font>
      <sz val="8"/>
      <color theme="0" tint="-0.249977111117893"/>
      <name val="Arial"/>
      <scheme val="minor"/>
    </font>
  </fonts>
  <fills count="38">
    <fill>
      <patternFill patternType="none"/>
    </fill>
    <fill>
      <patternFill patternType="gray125"/>
    </fill>
    <fill>
      <patternFill patternType="lightUp"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wrapText="1"/>
    </xf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20" applyNumberFormat="0" applyAlignment="0" applyProtection="0"/>
    <xf numFmtId="0" fontId="22" fillId="10" borderId="21" applyNumberFormat="0" applyAlignment="0" applyProtection="0"/>
    <xf numFmtId="0" fontId="23" fillId="10" borderId="20" applyNumberFormat="0" applyAlignment="0" applyProtection="0"/>
    <xf numFmtId="0" fontId="24" fillId="0" borderId="22" applyNumberFormat="0" applyFill="0" applyAlignment="0" applyProtection="0"/>
    <xf numFmtId="0" fontId="25" fillId="11" borderId="23" applyNumberFormat="0" applyAlignment="0" applyProtection="0"/>
    <xf numFmtId="0" fontId="26" fillId="0" borderId="0" applyNumberFormat="0" applyFill="0" applyBorder="0" applyAlignment="0" applyProtection="0"/>
    <xf numFmtId="0" fontId="3" fillId="12" borderId="24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5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" fontId="31" fillId="0" borderId="0"/>
  </cellStyleXfs>
  <cellXfs count="90">
    <xf numFmtId="0" fontId="0" fillId="0" borderId="0" xfId="0">
      <alignment wrapText="1"/>
    </xf>
    <xf numFmtId="0" fontId="4" fillId="0" borderId="0" xfId="0" applyFont="1" applyAlignment="1"/>
    <xf numFmtId="0" fontId="5" fillId="0" borderId="0" xfId="0" applyFont="1">
      <alignment wrapText="1"/>
    </xf>
    <xf numFmtId="3" fontId="4" fillId="0" borderId="9" xfId="0" applyNumberFormat="1" applyFont="1" applyBorder="1" applyProtection="1">
      <alignment wrapText="1"/>
      <protection locked="0"/>
    </xf>
    <xf numFmtId="0" fontId="6" fillId="0" borderId="0" xfId="0" applyFont="1" applyAlignment="1"/>
    <xf numFmtId="0" fontId="7" fillId="0" borderId="0" xfId="0" applyFont="1">
      <alignment wrapText="1"/>
    </xf>
    <xf numFmtId="0" fontId="4" fillId="0" borderId="0" xfId="0" applyFont="1">
      <alignment wrapText="1"/>
    </xf>
    <xf numFmtId="0" fontId="7" fillId="0" borderId="3" xfId="0" applyFont="1" applyBorder="1">
      <alignment wrapText="1"/>
    </xf>
    <xf numFmtId="3" fontId="4" fillId="2" borderId="10" xfId="0" applyNumberFormat="1" applyFont="1" applyFill="1" applyBorder="1">
      <alignment wrapText="1"/>
    </xf>
    <xf numFmtId="3" fontId="4" fillId="0" borderId="1" xfId="0" applyNumberFormat="1" applyFont="1" applyBorder="1" applyProtection="1">
      <alignment wrapText="1"/>
      <protection locked="0"/>
    </xf>
    <xf numFmtId="0" fontId="7" fillId="0" borderId="7" xfId="0" applyFont="1" applyBorder="1">
      <alignment wrapText="1"/>
    </xf>
    <xf numFmtId="0" fontId="4" fillId="0" borderId="7" xfId="0" applyFont="1" applyBorder="1">
      <alignment wrapText="1"/>
    </xf>
    <xf numFmtId="0" fontId="8" fillId="0" borderId="0" xfId="0" applyFont="1">
      <alignment wrapText="1"/>
    </xf>
    <xf numFmtId="3" fontId="9" fillId="0" borderId="0" xfId="0" applyNumberFormat="1" applyFont="1" applyAlignment="1"/>
    <xf numFmtId="3" fontId="4" fillId="3" borderId="10" xfId="0" applyNumberFormat="1" applyFont="1" applyFill="1" applyBorder="1">
      <alignment wrapText="1"/>
    </xf>
    <xf numFmtId="3" fontId="4" fillId="3" borderId="3" xfId="0" applyNumberFormat="1" applyFont="1" applyFill="1" applyBorder="1">
      <alignment wrapText="1"/>
    </xf>
    <xf numFmtId="3" fontId="4" fillId="0" borderId="0" xfId="0" applyNumberFormat="1" applyFont="1">
      <alignment wrapText="1"/>
    </xf>
    <xf numFmtId="0" fontId="11" fillId="4" borderId="2" xfId="0" applyFont="1" applyFill="1" applyBorder="1">
      <alignment wrapText="1"/>
    </xf>
    <xf numFmtId="3" fontId="4" fillId="3" borderId="8" xfId="0" applyNumberFormat="1" applyFont="1" applyFill="1" applyBorder="1">
      <alignment wrapText="1"/>
    </xf>
    <xf numFmtId="0" fontId="9" fillId="4" borderId="2" xfId="0" applyFont="1" applyFill="1" applyBorder="1">
      <alignment wrapText="1"/>
    </xf>
    <xf numFmtId="3" fontId="4" fillId="2" borderId="11" xfId="0" applyNumberFormat="1" applyFont="1" applyFill="1" applyBorder="1">
      <alignment wrapText="1"/>
    </xf>
    <xf numFmtId="3" fontId="4" fillId="0" borderId="12" xfId="0" applyNumberFormat="1" applyFont="1" applyBorder="1" applyProtection="1">
      <alignment wrapText="1"/>
      <protection locked="0"/>
    </xf>
    <xf numFmtId="0" fontId="4" fillId="0" borderId="5" xfId="0" applyFont="1" applyBorder="1">
      <alignment wrapText="1"/>
    </xf>
    <xf numFmtId="0" fontId="11" fillId="4" borderId="6" xfId="0" applyFont="1" applyFill="1" applyBorder="1" applyAlignment="1">
      <alignment horizontal="center" wrapText="1"/>
    </xf>
    <xf numFmtId="3" fontId="4" fillId="2" borderId="14" xfId="0" applyNumberFormat="1" applyFont="1" applyFill="1" applyBorder="1">
      <alignment wrapText="1"/>
    </xf>
    <xf numFmtId="3" fontId="4" fillId="0" borderId="14" xfId="0" applyNumberFormat="1" applyFont="1" applyBorder="1">
      <alignment wrapText="1"/>
    </xf>
    <xf numFmtId="3" fontId="4" fillId="3" borderId="14" xfId="0" applyNumberFormat="1" applyFont="1" applyFill="1" applyBorder="1">
      <alignment wrapText="1"/>
    </xf>
    <xf numFmtId="0" fontId="4" fillId="0" borderId="15" xfId="0" applyFont="1" applyBorder="1">
      <alignment wrapText="1"/>
    </xf>
    <xf numFmtId="0" fontId="12" fillId="2" borderId="11" xfId="0" applyFont="1" applyFill="1" applyBorder="1">
      <alignment wrapText="1"/>
    </xf>
    <xf numFmtId="0" fontId="13" fillId="5" borderId="0" xfId="0" applyFont="1" applyFill="1">
      <alignment wrapText="1"/>
    </xf>
    <xf numFmtId="0" fontId="7" fillId="5" borderId="8" xfId="0" applyFont="1" applyFill="1" applyBorder="1">
      <alignment wrapText="1"/>
    </xf>
    <xf numFmtId="3" fontId="4" fillId="2" borderId="16" xfId="0" applyNumberFormat="1" applyFont="1" applyFill="1" applyBorder="1">
      <alignment wrapText="1"/>
    </xf>
    <xf numFmtId="0" fontId="9" fillId="4" borderId="2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11" fillId="4" borderId="8" xfId="0" applyFont="1" applyFill="1" applyBorder="1" applyAlignment="1">
      <alignment horizontal="center" wrapText="1"/>
    </xf>
    <xf numFmtId="0" fontId="7" fillId="0" borderId="4" xfId="0" applyFont="1" applyBorder="1">
      <alignment wrapText="1"/>
    </xf>
    <xf numFmtId="0" fontId="4" fillId="0" borderId="4" xfId="0" applyFont="1" applyBorder="1">
      <alignment wrapText="1"/>
    </xf>
    <xf numFmtId="167" fontId="6" fillId="0" borderId="0" xfId="1" applyNumberFormat="1" applyFont="1"/>
    <xf numFmtId="17" fontId="4" fillId="0" borderId="1" xfId="0" applyNumberFormat="1" applyFont="1" applyBorder="1" applyAlignment="1" applyProtection="1">
      <alignment horizontal="right" wrapText="1"/>
      <protection locked="0"/>
    </xf>
    <xf numFmtId="17" fontId="11" fillId="4" borderId="9" xfId="0" applyNumberFormat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0" fontId="0" fillId="0" borderId="26" xfId="0" applyBorder="1" applyAlignment="1">
      <alignment horizontal="left"/>
    </xf>
    <xf numFmtId="4" fontId="32" fillId="37" borderId="0" xfId="47" applyFont="1" applyFill="1" applyAlignment="1">
      <alignment wrapText="1"/>
    </xf>
    <xf numFmtId="4" fontId="3" fillId="37" borderId="0" xfId="47" applyFont="1" applyFill="1" applyAlignment="1">
      <alignment horizontal="left" wrapText="1"/>
    </xf>
    <xf numFmtId="4" fontId="3" fillId="37" borderId="0" xfId="47" applyFont="1" applyFill="1" applyAlignment="1">
      <alignment wrapText="1"/>
    </xf>
    <xf numFmtId="4" fontId="3" fillId="37" borderId="0" xfId="47" applyFont="1" applyFill="1" applyAlignment="1">
      <alignment vertical="top" wrapText="1"/>
    </xf>
    <xf numFmtId="4" fontId="3" fillId="37" borderId="0" xfId="47" applyFont="1" applyFill="1"/>
    <xf numFmtId="3" fontId="4" fillId="0" borderId="28" xfId="0" applyNumberFormat="1" applyFont="1" applyBorder="1" applyProtection="1">
      <alignment wrapText="1"/>
      <protection locked="0"/>
    </xf>
    <xf numFmtId="3" fontId="4" fillId="2" borderId="12" xfId="0" applyNumberFormat="1" applyFont="1" applyFill="1" applyBorder="1">
      <alignment wrapText="1"/>
    </xf>
    <xf numFmtId="0" fontId="33" fillId="0" borderId="26" xfId="0" applyFont="1" applyBorder="1" applyAlignment="1">
      <alignment horizontal="left"/>
    </xf>
    <xf numFmtId="3" fontId="30" fillId="2" borderId="12" xfId="0" applyNumberFormat="1" applyFont="1" applyFill="1" applyBorder="1">
      <alignment wrapText="1"/>
    </xf>
    <xf numFmtId="3" fontId="30" fillId="0" borderId="30" xfId="0" applyNumberFormat="1" applyFont="1" applyBorder="1" applyProtection="1">
      <alignment wrapText="1"/>
      <protection locked="0"/>
    </xf>
    <xf numFmtId="3" fontId="30" fillId="3" borderId="8" xfId="0" applyNumberFormat="1" applyFont="1" applyFill="1" applyBorder="1">
      <alignment wrapText="1"/>
    </xf>
    <xf numFmtId="0" fontId="30" fillId="0" borderId="33" xfId="0" applyFont="1" applyBorder="1">
      <alignment wrapText="1"/>
    </xf>
    <xf numFmtId="0" fontId="30" fillId="0" borderId="29" xfId="0" applyFont="1" applyBorder="1">
      <alignment wrapText="1"/>
    </xf>
    <xf numFmtId="0" fontId="0" fillId="0" borderId="0" xfId="0" applyAlignment="1">
      <alignment horizontal="center" wrapText="1"/>
    </xf>
    <xf numFmtId="0" fontId="0" fillId="0" borderId="30" xfId="0" applyBorder="1" applyAlignment="1">
      <alignment horizontal="center" wrapText="1"/>
    </xf>
    <xf numFmtId="0" fontId="32" fillId="0" borderId="30" xfId="0" applyFont="1" applyBorder="1" applyAlignment="1">
      <alignment horizontal="center" wrapText="1"/>
    </xf>
    <xf numFmtId="0" fontId="0" fillId="0" borderId="30" xfId="0" applyBorder="1">
      <alignment wrapText="1"/>
    </xf>
    <xf numFmtId="0" fontId="32" fillId="0" borderId="34" xfId="0" applyFont="1" applyBorder="1">
      <alignment wrapText="1"/>
    </xf>
    <xf numFmtId="168" fontId="2" fillId="0" borderId="30" xfId="2" applyNumberFormat="1" applyFont="1" applyBorder="1" applyAlignment="1">
      <alignment horizontal="right" wrapText="1"/>
    </xf>
    <xf numFmtId="168" fontId="2" fillId="0" borderId="30" xfId="0" applyNumberFormat="1" applyFont="1" applyBorder="1" applyAlignment="1">
      <alignment horizontal="right" wrapText="1"/>
    </xf>
    <xf numFmtId="168" fontId="2" fillId="0" borderId="13" xfId="0" applyNumberFormat="1" applyFont="1" applyBorder="1" applyAlignment="1">
      <alignment horizontal="right" wrapText="1"/>
    </xf>
    <xf numFmtId="168" fontId="2" fillId="0" borderId="34" xfId="0" applyNumberFormat="1" applyFont="1" applyBorder="1" applyAlignment="1">
      <alignment horizontal="right" wrapText="1"/>
    </xf>
    <xf numFmtId="168" fontId="2" fillId="0" borderId="34" xfId="2" applyNumberFormat="1" applyFont="1" applyBorder="1" applyAlignment="1">
      <alignment horizontal="right" wrapText="1"/>
    </xf>
    <xf numFmtId="0" fontId="2" fillId="0" borderId="0" xfId="0" applyFont="1">
      <alignment wrapText="1"/>
    </xf>
    <xf numFmtId="168" fontId="34" fillId="0" borderId="34" xfId="0" applyNumberFormat="1" applyFont="1" applyBorder="1" applyAlignment="1">
      <alignment horizontal="right" wrapText="1"/>
    </xf>
    <xf numFmtId="0" fontId="4" fillId="5" borderId="15" xfId="0" applyFont="1" applyFill="1" applyBorder="1">
      <alignment wrapText="1"/>
    </xf>
    <xf numFmtId="0" fontId="30" fillId="5" borderId="33" xfId="0" applyFont="1" applyFill="1" applyBorder="1">
      <alignment wrapText="1"/>
    </xf>
    <xf numFmtId="0" fontId="32" fillId="0" borderId="0" xfId="0" applyFont="1">
      <alignment wrapText="1"/>
    </xf>
    <xf numFmtId="169" fontId="34" fillId="0" borderId="0" xfId="0" applyNumberFormat="1" applyFont="1">
      <alignment wrapText="1"/>
    </xf>
    <xf numFmtId="0" fontId="35" fillId="5" borderId="12" xfId="0" applyFont="1" applyFill="1" applyBorder="1">
      <alignment wrapText="1"/>
    </xf>
    <xf numFmtId="0" fontId="30" fillId="2" borderId="10" xfId="0" applyFont="1" applyFill="1" applyBorder="1">
      <alignment wrapText="1"/>
    </xf>
    <xf numFmtId="3" fontId="30" fillId="0" borderId="10" xfId="0" applyNumberFormat="1" applyFont="1" applyBorder="1" applyProtection="1">
      <alignment wrapText="1"/>
      <protection locked="0"/>
    </xf>
    <xf numFmtId="3" fontId="30" fillId="3" borderId="11" xfId="0" applyNumberFormat="1" applyFont="1" applyFill="1" applyBorder="1">
      <alignment wrapText="1"/>
    </xf>
    <xf numFmtId="0" fontId="35" fillId="5" borderId="31" xfId="0" applyFont="1" applyFill="1" applyBorder="1">
      <alignment wrapText="1"/>
    </xf>
    <xf numFmtId="3" fontId="36" fillId="2" borderId="11" xfId="0" applyNumberFormat="1" applyFont="1" applyFill="1" applyBorder="1">
      <alignment wrapText="1"/>
    </xf>
    <xf numFmtId="3" fontId="30" fillId="3" borderId="32" xfId="0" applyNumberFormat="1" applyFont="1" applyFill="1" applyBorder="1">
      <alignment wrapText="1"/>
    </xf>
    <xf numFmtId="3" fontId="30" fillId="0" borderId="11" xfId="0" applyNumberFormat="1" applyFont="1" applyBorder="1">
      <alignment wrapText="1"/>
    </xf>
    <xf numFmtId="3" fontId="36" fillId="2" borderId="10" xfId="0" applyNumberFormat="1" applyFont="1" applyFill="1" applyBorder="1">
      <alignment wrapText="1"/>
    </xf>
    <xf numFmtId="4" fontId="3" fillId="37" borderId="0" xfId="47" applyFont="1" applyFill="1" applyAlignment="1">
      <alignment horizontal="center" vertical="center" wrapText="1"/>
    </xf>
    <xf numFmtId="4" fontId="3" fillId="37" borderId="0" xfId="47" applyFont="1" applyFill="1" applyAlignment="1">
      <alignment vertical="center" wrapText="1"/>
    </xf>
    <xf numFmtId="4" fontId="32" fillId="37" borderId="0" xfId="47" applyFont="1" applyFill="1" applyAlignment="1">
      <alignment horizontal="center" vertical="center" wrapText="1"/>
    </xf>
    <xf numFmtId="4" fontId="3" fillId="37" borderId="0" xfId="47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4" fontId="3" fillId="37" borderId="0" xfId="47" applyFont="1" applyFill="1" applyAlignment="1">
      <alignment horizontal="left" wrapText="1"/>
    </xf>
    <xf numFmtId="4" fontId="0" fillId="37" borderId="0" xfId="47" applyFont="1" applyFill="1" applyAlignment="1">
      <alignment horizontal="center" vertical="top" wrapText="1"/>
    </xf>
    <xf numFmtId="4" fontId="3" fillId="37" borderId="0" xfId="47" applyFont="1" applyFill="1" applyAlignment="1">
      <alignment horizontal="center" vertical="top" wrapText="1"/>
    </xf>
    <xf numFmtId="0" fontId="8" fillId="0" borderId="0" xfId="0" applyFont="1">
      <alignment wrapText="1"/>
    </xf>
    <xf numFmtId="0" fontId="4" fillId="0" borderId="0" xfId="0" applyFont="1" applyAlignment="1">
      <alignment horizontal="center"/>
    </xf>
  </cellXfs>
  <cellStyles count="48">
    <cellStyle name="20% - Colore 1" xfId="24" builtinId="30" customBuiltin="1"/>
    <cellStyle name="20% - Colore 2" xfId="28" builtinId="34" customBuiltin="1"/>
    <cellStyle name="20% - Colore 3" xfId="32" builtinId="38" customBuiltin="1"/>
    <cellStyle name="20% - Colore 4" xfId="36" builtinId="42" customBuiltin="1"/>
    <cellStyle name="20% - Colore 5" xfId="40" builtinId="46" customBuiltin="1"/>
    <cellStyle name="20% - Colore 6" xfId="44" builtinId="50" customBuiltin="1"/>
    <cellStyle name="40% - Colore 1" xfId="25" builtinId="31" customBuiltin="1"/>
    <cellStyle name="40% - Colore 2" xfId="29" builtinId="35" customBuiltin="1"/>
    <cellStyle name="40% - Colore 3" xfId="33" builtinId="39" customBuiltin="1"/>
    <cellStyle name="40% - Colore 4" xfId="37" builtinId="43" customBuiltin="1"/>
    <cellStyle name="40% - Colore 5" xfId="41" builtinId="47" customBuiltin="1"/>
    <cellStyle name="40% - Colore 6" xfId="45" builtinId="51" customBuiltin="1"/>
    <cellStyle name="60% - Colore 1" xfId="26" builtinId="32" customBuiltin="1"/>
    <cellStyle name="60% - Colore 2" xfId="30" builtinId="36" customBuiltin="1"/>
    <cellStyle name="60% - Colore 3" xfId="34" builtinId="40" customBuiltin="1"/>
    <cellStyle name="60% - Colore 4" xfId="38" builtinId="44" customBuiltin="1"/>
    <cellStyle name="60% - Colore 5" xfId="42" builtinId="48" customBuiltin="1"/>
    <cellStyle name="60% - Colore 6" xfId="46" builtinId="52" customBuiltin="1"/>
    <cellStyle name="Calcolo" xfId="16" builtinId="22" customBuiltin="1"/>
    <cellStyle name="Cella collegata" xfId="17" builtinId="24" customBuiltin="1"/>
    <cellStyle name="Cella da controllare" xfId="18" builtinId="23" customBuiltin="1"/>
    <cellStyle name="Colore 1" xfId="23" builtinId="29" customBuiltin="1"/>
    <cellStyle name="Colore 2" xfId="27" builtinId="33" customBuiltin="1"/>
    <cellStyle name="Colore 3" xfId="31" builtinId="37" customBuiltin="1"/>
    <cellStyle name="Colore 4" xfId="35" builtinId="41" customBuiltin="1"/>
    <cellStyle name="Colore 5" xfId="39" builtinId="45" customBuiltin="1"/>
    <cellStyle name="Colore 6" xfId="43" builtinId="49" customBuiltin="1"/>
    <cellStyle name="Input" xfId="14" builtinId="20" customBuiltin="1"/>
    <cellStyle name="Migliaia" xfId="2" builtinId="3" customBuiltin="1"/>
    <cellStyle name="Migliaia [0]" xfId="3" builtinId="6" customBuiltin="1"/>
    <cellStyle name="Neutrale" xfId="13" builtinId="28" customBuiltin="1"/>
    <cellStyle name="Normale" xfId="0" builtinId="0" customBuiltin="1"/>
    <cellStyle name="Normale 2" xfId="47" xr:uid="{00000000-0005-0000-0000-000020000000}"/>
    <cellStyle name="Nota" xfId="20" builtinId="10" customBuiltin="1"/>
    <cellStyle name="Output" xfId="15" builtinId="21" customBuiltin="1"/>
    <cellStyle name="Percentuale" xfId="5" builtinId="5" customBuiltin="1"/>
    <cellStyle name="Testo avviso" xfId="19" builtinId="11" customBuiltin="1"/>
    <cellStyle name="Testo descrittivo" xfId="21" builtinId="53" customBuiltin="1"/>
    <cellStyle name="Titolo" xfId="6" builtinId="15" customBuiltin="1"/>
    <cellStyle name="Titolo 1" xfId="7" builtinId="16" customBuiltin="1"/>
    <cellStyle name="Titolo 2" xfId="8" builtinId="17" customBuiltin="1"/>
    <cellStyle name="Titolo 3" xfId="9" builtinId="18" customBuiltin="1"/>
    <cellStyle name="Titolo 4" xfId="10" builtinId="19" customBuiltin="1"/>
    <cellStyle name="Totale" xfId="22" builtinId="25" customBuiltin="1"/>
    <cellStyle name="Valore non valido" xfId="12" builtinId="27" customBuiltin="1"/>
    <cellStyle name="Valore valido" xfId="11" builtinId="26" customBuiltin="1"/>
    <cellStyle name="Valuta" xfId="1" builtinId="4" customBuiltin="1"/>
    <cellStyle name="Valuta [0]" xfId="4" builtinId="7" customBuiltin="1"/>
  </cellStyles>
  <dxfs count="124">
    <dxf>
      <font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249977111117893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inor"/>
      </font>
      <numFmt numFmtId="170" formatCode="mmm/yy"/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inor"/>
      </font>
      <numFmt numFmtId="3" formatCode="#,##0"/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0" tint="-4.9989318521683403E-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inor"/>
      </font>
      <numFmt numFmtId="170" formatCode="mmm/yy"/>
      <fill>
        <patternFill patternType="solid">
          <fgColor indexed="64"/>
          <bgColor theme="1" tint="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249977111117893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inor"/>
      </font>
      <numFmt numFmtId="3" formatCode="#,##0"/>
      <fill>
        <patternFill patternType="solid">
          <fgColor indexed="64"/>
          <bgColor theme="1" tint="0.49998474074526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Liquidità" pivot="0" count="4" xr9:uid="{00000000-0011-0000-FFFF-FFFF00000000}">
      <tableStyleElement type="wholeTable" dxfId="123"/>
      <tableStyleElement type="headerRow" dxfId="122"/>
      <tableStyleElement type="totalRow" dxfId="121"/>
      <tableStyleElement type="firstTotalCell" dxfId="1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DDDD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C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Arial (Corpo)"/>
                <a:ea typeface="黑体"/>
                <a:cs typeface="黑体"/>
              </a:defRPr>
            </a:pPr>
            <a:r>
              <a:rPr lang="en-US">
                <a:latin typeface="Arial (Corpo)"/>
              </a:rPr>
              <a:t>Proiezione del flusso di cassa
Nome società</a:t>
            </a:r>
          </a:p>
        </c:rich>
      </c:tx>
      <c:layout>
        <c:manualLayout>
          <c:xMode val="edge"/>
          <c:yMode val="edge"/>
          <c:x val="0.32418731195185962"/>
          <c:y val="3.2011134307585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122020811520303E-2"/>
          <c:y val="0.20876826722338204"/>
          <c:w val="0.68496002937629952"/>
          <c:h val="0.6179540709812108"/>
        </c:manualLayout>
      </c:layout>
      <c:barChart>
        <c:barDir val="col"/>
        <c:grouping val="clustered"/>
        <c:varyColors val="0"/>
        <c:ser>
          <c:idx val="0"/>
          <c:order val="0"/>
          <c:tx>
            <c:v>Proiezione del flusso di cassa</c:v>
          </c:tx>
          <c:invertIfNegative val="0"/>
          <c:cat>
            <c:strRef>
              <c:f>'Budget Flusso di cassa'!$C$6:$O$6</c:f>
              <c:strCache>
                <c:ptCount val="13"/>
                <c:pt idx="0">
                  <c:v>Inizio</c:v>
                </c:pt>
                <c:pt idx="1">
                  <c:v>lug-24</c:v>
                </c:pt>
                <c:pt idx="2">
                  <c:v>ago-24</c:v>
                </c:pt>
                <c:pt idx="3">
                  <c:v>set-24</c:v>
                </c:pt>
                <c:pt idx="4">
                  <c:v>ott-24</c:v>
                </c:pt>
                <c:pt idx="5">
                  <c:v>nov-24</c:v>
                </c:pt>
                <c:pt idx="6">
                  <c:v>dic-24</c:v>
                </c:pt>
                <c:pt idx="7">
                  <c:v>gen-25</c:v>
                </c:pt>
                <c:pt idx="8">
                  <c:v>feb-25</c:v>
                </c:pt>
                <c:pt idx="9">
                  <c:v>mar-25</c:v>
                </c:pt>
                <c:pt idx="10">
                  <c:v>apr-25</c:v>
                </c:pt>
                <c:pt idx="11">
                  <c:v>mag-25</c:v>
                </c:pt>
                <c:pt idx="12">
                  <c:v>giu-25</c:v>
                </c:pt>
              </c:strCache>
            </c:strRef>
          </c:cat>
          <c:val>
            <c:numRef>
              <c:f>'Budget Flusso di cassa'!$C$52:$O$52</c:f>
              <c:numCache>
                <c:formatCode>#,##0</c:formatCode>
                <c:ptCount val="13"/>
                <c:pt idx="0">
                  <c:v>100000</c:v>
                </c:pt>
                <c:pt idx="1">
                  <c:v>-50000</c:v>
                </c:pt>
                <c:pt idx="2">
                  <c:v>-50000</c:v>
                </c:pt>
                <c:pt idx="3">
                  <c:v>-50000</c:v>
                </c:pt>
                <c:pt idx="4">
                  <c:v>-50000</c:v>
                </c:pt>
                <c:pt idx="5">
                  <c:v>-50000</c:v>
                </c:pt>
                <c:pt idx="6">
                  <c:v>-50000</c:v>
                </c:pt>
                <c:pt idx="7">
                  <c:v>-50000</c:v>
                </c:pt>
                <c:pt idx="8">
                  <c:v>-50000</c:v>
                </c:pt>
                <c:pt idx="9">
                  <c:v>-50000</c:v>
                </c:pt>
                <c:pt idx="10">
                  <c:v>-50000</c:v>
                </c:pt>
                <c:pt idx="11">
                  <c:v>-50000</c:v>
                </c:pt>
                <c:pt idx="12">
                  <c:v>-50000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755720"/>
        <c:axId val="423803320"/>
      </c:barChart>
      <c:lineChart>
        <c:grouping val="standard"/>
        <c:varyColors val="0"/>
        <c:ser>
          <c:idx val="1"/>
          <c:order val="1"/>
          <c:tx>
            <c:v>Avviso minimo di disponibilità di cassa</c:v>
          </c:tx>
          <c:cat>
            <c:strRef>
              <c:f>'Budget Flusso di cassa'!$C$6:$O$6</c:f>
              <c:strCache>
                <c:ptCount val="13"/>
                <c:pt idx="0">
                  <c:v>Inizio</c:v>
                </c:pt>
                <c:pt idx="1">
                  <c:v>lug-24</c:v>
                </c:pt>
                <c:pt idx="2">
                  <c:v>ago-24</c:v>
                </c:pt>
                <c:pt idx="3">
                  <c:v>set-24</c:v>
                </c:pt>
                <c:pt idx="4">
                  <c:v>ott-24</c:v>
                </c:pt>
                <c:pt idx="5">
                  <c:v>nov-24</c:v>
                </c:pt>
                <c:pt idx="6">
                  <c:v>dic-24</c:v>
                </c:pt>
                <c:pt idx="7">
                  <c:v>gen-25</c:v>
                </c:pt>
                <c:pt idx="8">
                  <c:v>feb-25</c:v>
                </c:pt>
                <c:pt idx="9">
                  <c:v>mar-25</c:v>
                </c:pt>
                <c:pt idx="10">
                  <c:v>apr-25</c:v>
                </c:pt>
                <c:pt idx="11">
                  <c:v>mag-25</c:v>
                </c:pt>
                <c:pt idx="12">
                  <c:v>giu-25</c:v>
                </c:pt>
              </c:strCache>
            </c:strRef>
          </c:cat>
          <c:val>
            <c:numRef>
              <c:f>'Budget Flusso di cassa'!$C$4:$O$4</c:f>
              <c:numCache>
                <c:formatCode>#,##0</c:formatCode>
                <c:ptCount val="13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55720"/>
        <c:axId val="423803320"/>
      </c:lineChart>
      <c:catAx>
        <c:axId val="421755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Periodo</a:t>
                </a:r>
              </a:p>
            </c:rich>
          </c:tx>
          <c:layout>
            <c:manualLayout>
              <c:xMode val="edge"/>
              <c:yMode val="edge"/>
              <c:x val="0.38109798775153103"/>
              <c:y val="0.924843423799582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it-IT"/>
          </a:p>
        </c:txPr>
        <c:crossAx val="423803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803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Disponibilità di cassa</a:t>
                </a:r>
              </a:p>
            </c:rich>
          </c:tx>
          <c:layout>
            <c:manualLayout>
              <c:xMode val="edge"/>
              <c:yMode val="edge"/>
              <c:x val="1.0162611711814535E-2"/>
              <c:y val="0.3987473903966597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421755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45605712499333"/>
          <c:y val="0.45511482254697289"/>
          <c:w val="0.21341484594810523"/>
          <c:h val="0.16214335421016005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  <a:latin typeface="Arial (Corpo)"/>
              <a:ea typeface="黑体"/>
              <a:cs typeface="黑体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88901</xdr:rowOff>
    </xdr:from>
    <xdr:to>
      <xdr:col>14</xdr:col>
      <xdr:colOff>723265</xdr:colOff>
      <xdr:row>4</xdr:row>
      <xdr:rowOff>63501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5950" y="88901"/>
          <a:ext cx="723265" cy="806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104775</xdr:rowOff>
    </xdr:from>
    <xdr:to>
      <xdr:col>16</xdr:col>
      <xdr:colOff>66675</xdr:colOff>
      <xdr:row>33</xdr:row>
      <xdr:rowOff>95250</xdr:rowOff>
    </xdr:to>
    <xdr:graphicFrame macro="">
      <xdr:nvGraphicFramePr>
        <xdr:cNvPr id="4098" name="Grafico 2" descr="Grafico combinato con Avviso minimo di disponibilità di cassa e proiezione del flusso di cassa 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shReceipts" displayName="CashReceipts" ref="B9:P20" totalsRowCount="1" headerRowDxfId="119" dataDxfId="117" headerRowBorderDxfId="118" tableBorderDxfId="116">
  <autoFilter ref="B9:P1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000-000001000000}" name="INCASSI" totalsRowLabel="INCASSI TOTALI" dataDxfId="115" totalsRowDxfId="114"/>
    <tableColumn id="2" xr3:uid="{00000000-0010-0000-0000-000002000000}" name=" " dataDxfId="113" totalsRowDxfId="112"/>
    <tableColumn id="3" xr3:uid="{00000000-0010-0000-0000-000003000000}" name="lug-24" totalsRowFunction="sum" dataDxfId="111" totalsRowDxfId="110"/>
    <tableColumn id="4" xr3:uid="{00000000-0010-0000-0000-000004000000}" name="ago-24" totalsRowFunction="sum" dataDxfId="109" totalsRowDxfId="108"/>
    <tableColumn id="5" xr3:uid="{00000000-0010-0000-0000-000005000000}" name="set-24" totalsRowFunction="sum" dataDxfId="107" totalsRowDxfId="106"/>
    <tableColumn id="6" xr3:uid="{00000000-0010-0000-0000-000006000000}" name="ott-24" totalsRowFunction="sum" dataDxfId="105" totalsRowDxfId="104"/>
    <tableColumn id="7" xr3:uid="{00000000-0010-0000-0000-000007000000}" name="nov-24" totalsRowFunction="sum" dataDxfId="103" totalsRowDxfId="102"/>
    <tableColumn id="8" xr3:uid="{00000000-0010-0000-0000-000008000000}" name="dic-24" totalsRowFunction="sum" dataDxfId="101" totalsRowDxfId="100"/>
    <tableColumn id="9" xr3:uid="{00000000-0010-0000-0000-000009000000}" name="gen-25" totalsRowFunction="sum" dataDxfId="99" totalsRowDxfId="98"/>
    <tableColumn id="10" xr3:uid="{00000000-0010-0000-0000-00000A000000}" name="feb-25" totalsRowFunction="sum" dataDxfId="97" totalsRowDxfId="96"/>
    <tableColumn id="11" xr3:uid="{00000000-0010-0000-0000-00000B000000}" name="mar-25" totalsRowFunction="sum" dataDxfId="95" totalsRowDxfId="94"/>
    <tableColumn id="12" xr3:uid="{00000000-0010-0000-0000-00000C000000}" name="apr-25" totalsRowFunction="sum" dataDxfId="93" totalsRowDxfId="92"/>
    <tableColumn id="13" xr3:uid="{00000000-0010-0000-0000-00000D000000}" name="mag-25" totalsRowFunction="sum" dataDxfId="91" totalsRowDxfId="90"/>
    <tableColumn id="14" xr3:uid="{00000000-0010-0000-0000-00000E000000}" name="giu-25" totalsRowFunction="sum" dataDxfId="89" totalsRowDxfId="88"/>
    <tableColumn id="15" xr3:uid="{00000000-0010-0000-0000-00000F000000}" name="Totale" totalsRowFunction="custom" dataDxfId="87" totalsRowDxfId="86">
      <calculatedColumnFormula>SUM(D10:O10)</calculatedColumnFormula>
      <totalsRowFormula>SUBTOTAL(109,CashReceipts[Totale])-CashPaidOut[[#Totals],[Totale]]</totalsRowFormula>
    </tableColumn>
  </tableColumns>
  <tableStyleInfo name="Liquidità" showFirstColumn="0" showLastColumn="0" showRowStripes="0" showColumnStripes="0"/>
  <extLst>
    <ext xmlns:x14="http://schemas.microsoft.com/office/spreadsheetml/2009/9/main" uri="{504A1905-F514-4f6f-8877-14C23A59335A}">
      <x14:table altTextSummary="Immettere o modificare elementi di incassi e i valori di ogni mese in questa tabella. Gli incassi totali e la disponibilità totale contanti vengono calcolati automaticament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ashOnHand" displayName="CashOnHand" ref="C6:P7" totalsRowShown="0" headerRowDxfId="85" dataDxfId="83" headerRowBorderDxfId="84" tableBorderDxfId="82">
  <autoFilter ref="C6:P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100-000001000000}" name="Inizio" dataDxfId="81"/>
    <tableColumn id="2" xr3:uid="{00000000-0010-0000-0100-000002000000}" name="lug-24" dataDxfId="80">
      <calculatedColumnFormula>C52</calculatedColumnFormula>
    </tableColumn>
    <tableColumn id="3" xr3:uid="{00000000-0010-0000-0100-000003000000}" name="ago-24" dataDxfId="79">
      <calculatedColumnFormula>D52</calculatedColumnFormula>
    </tableColumn>
    <tableColumn id="4" xr3:uid="{00000000-0010-0000-0100-000004000000}" name="set-24" dataDxfId="78">
      <calculatedColumnFormula>E52</calculatedColumnFormula>
    </tableColumn>
    <tableColumn id="5" xr3:uid="{00000000-0010-0000-0100-000005000000}" name="ott-24" dataDxfId="77">
      <calculatedColumnFormula>F52</calculatedColumnFormula>
    </tableColumn>
    <tableColumn id="6" xr3:uid="{00000000-0010-0000-0100-000006000000}" name="nov-24" dataDxfId="76">
      <calculatedColumnFormula>G52</calculatedColumnFormula>
    </tableColumn>
    <tableColumn id="7" xr3:uid="{00000000-0010-0000-0100-000007000000}" name="dic-24" dataDxfId="75">
      <calculatedColumnFormula>H52</calculatedColumnFormula>
    </tableColumn>
    <tableColumn id="8" xr3:uid="{00000000-0010-0000-0100-000008000000}" name="gen-25" dataDxfId="74">
      <calculatedColumnFormula>I52</calculatedColumnFormula>
    </tableColumn>
    <tableColumn id="9" xr3:uid="{00000000-0010-0000-0100-000009000000}" name="feb-25" dataDxfId="73">
      <calculatedColumnFormula>J52</calculatedColumnFormula>
    </tableColumn>
    <tableColumn id="10" xr3:uid="{00000000-0010-0000-0100-00000A000000}" name="mar-25" dataDxfId="72">
      <calculatedColumnFormula>K52</calculatedColumnFormula>
    </tableColumn>
    <tableColumn id="11" xr3:uid="{00000000-0010-0000-0100-00000B000000}" name="apr-25" dataDxfId="71">
      <calculatedColumnFormula>L52</calculatedColumnFormula>
    </tableColumn>
    <tableColumn id="12" xr3:uid="{00000000-0010-0000-0100-00000C000000}" name="mag-25" dataDxfId="70">
      <calculatedColumnFormula>M52</calculatedColumnFormula>
    </tableColumn>
    <tableColumn id="13" xr3:uid="{00000000-0010-0000-0100-00000D000000}" name="giu-25" dataDxfId="69">
      <calculatedColumnFormula>N52</calculatedColumnFormula>
    </tableColumn>
    <tableColumn id="14" xr3:uid="{00000000-0010-0000-0100-00000E000000}" name="Totale" dataDxfId="68"/>
  </tableColumns>
  <tableStyleInfo name="Liquidità" showFirstColumn="0" showLastColumn="0" showRowStripes="1" showColumnStripes="0"/>
  <extLst>
    <ext xmlns:x14="http://schemas.microsoft.com/office/spreadsheetml/2009/9/main" uri="{504A1905-F514-4f6f-8877-14C23A59335A}">
      <x14:table altTextSummary="Inserire Disponibilità di cassa in Inizio in questa tabella. Liquidità viene automaticamente calcolata per ogni mes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Spese" displayName="Spese" ref="B23:P44" totalsRowCount="1" headerRowDxfId="67" dataDxfId="65" headerRowBorderDxfId="66" tableBorderDxfId="64">
  <autoFilter ref="B23:P4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200-000001000000}" name="USCITE DI CASSA" totalsRowLabel="SUBTOTALE" dataDxfId="63" totalsRowDxfId="62"/>
    <tableColumn id="2" xr3:uid="{00000000-0010-0000-0200-000002000000}" name=" " dataDxfId="61" totalsRowDxfId="60"/>
    <tableColumn id="3" xr3:uid="{00000000-0010-0000-0200-000003000000}" name="lug-24" totalsRowFunction="sum" dataDxfId="59" totalsRowDxfId="58"/>
    <tableColumn id="4" xr3:uid="{00000000-0010-0000-0200-000004000000}" name="ago-24" totalsRowFunction="sum" dataDxfId="57" totalsRowDxfId="56"/>
    <tableColumn id="5" xr3:uid="{00000000-0010-0000-0200-000005000000}" name="set-24" totalsRowFunction="sum" dataDxfId="55" totalsRowDxfId="54"/>
    <tableColumn id="6" xr3:uid="{00000000-0010-0000-0200-000006000000}" name="ott-24" totalsRowFunction="sum" dataDxfId="53" totalsRowDxfId="52"/>
    <tableColumn id="7" xr3:uid="{00000000-0010-0000-0200-000007000000}" name="nov-24" totalsRowFunction="sum" dataDxfId="51" totalsRowDxfId="50"/>
    <tableColumn id="8" xr3:uid="{00000000-0010-0000-0200-000008000000}" name="dic-24" totalsRowFunction="sum" dataDxfId="49" totalsRowDxfId="48"/>
    <tableColumn id="9" xr3:uid="{00000000-0010-0000-0200-000009000000}" name="gen-25" totalsRowFunction="sum" dataDxfId="47" totalsRowDxfId="46"/>
    <tableColumn id="10" xr3:uid="{00000000-0010-0000-0200-00000A000000}" name="feb-25" totalsRowFunction="sum" dataDxfId="45" totalsRowDxfId="44"/>
    <tableColumn id="11" xr3:uid="{00000000-0010-0000-0200-00000B000000}" name="mar-25" totalsRowFunction="sum" dataDxfId="43" totalsRowDxfId="42"/>
    <tableColumn id="12" xr3:uid="{00000000-0010-0000-0200-00000C000000}" name="apr-25" totalsRowFunction="sum" dataDxfId="41" totalsRowDxfId="40"/>
    <tableColumn id="13" xr3:uid="{00000000-0010-0000-0200-00000D000000}" name="mag-25" totalsRowFunction="sum" dataDxfId="39" totalsRowDxfId="38"/>
    <tableColumn id="14" xr3:uid="{00000000-0010-0000-0200-00000E000000}" name="giu-25" totalsRowFunction="sum" dataDxfId="37" totalsRowDxfId="36"/>
    <tableColumn id="15" xr3:uid="{00000000-0010-0000-0200-00000F000000}" name="Totale" totalsRowFunction="sum" dataDxfId="35" totalsRowDxfId="34">
      <calculatedColumnFormula>SUM(D24:O24)</calculatedColumnFormula>
    </tableColumn>
  </tableColumns>
  <tableStyleInfo name="Liquidità" showFirstColumn="1" showLastColumn="0" showRowStripes="0" showColumnStripes="0"/>
  <extLst>
    <ext xmlns:x14="http://schemas.microsoft.com/office/spreadsheetml/2009/9/main" uri="{504A1905-F514-4f6f-8877-14C23A59335A}">
      <x14:table altTextSummary="Immettere o modificare elementi Spese in contanti e i valori di ogni mese in questa tabella. Il subtotale viene calcolato automaticamente alla fin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CashPaidOut" displayName="CashPaidOut" ref="B45:P51" totalsRowCount="1" headerRowDxfId="33" dataDxfId="32" tableBorderDxfId="31">
  <autoFilter ref="B45:P50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300-000001000000}" name="USCITE DI CASSA" totalsRowLabel="TOTALE USCITE DI CASSA" dataDxfId="30" totalsRowDxfId="29"/>
    <tableColumn id="2" xr3:uid="{00000000-0010-0000-0300-000002000000}" name=" " dataDxfId="28" totalsRowDxfId="27"/>
    <tableColumn id="3" xr3:uid="{00000000-0010-0000-0300-000003000000}" name="lug-24" totalsRowFunction="custom" dataDxfId="26" totalsRowDxfId="25">
      <totalsRowFormula>Spese[[#Totals],[lug-24]]+SUBTOTAL(109,CashPaidOut[lug-24])</totalsRowFormula>
    </tableColumn>
    <tableColumn id="4" xr3:uid="{00000000-0010-0000-0300-000004000000}" name="ago-24" totalsRowFunction="custom" dataDxfId="24" totalsRowDxfId="23">
      <totalsRowFormula>Spese[[#Totals],[ago-24]]+SUBTOTAL(109,CashPaidOut[ago-24])</totalsRowFormula>
    </tableColumn>
    <tableColumn id="5" xr3:uid="{00000000-0010-0000-0300-000005000000}" name="set-24" totalsRowFunction="custom" dataDxfId="22" totalsRowDxfId="21">
      <totalsRowFormula>Spese[[#Totals],[set-24]]+SUBTOTAL(109,CashPaidOut[set-24])</totalsRowFormula>
    </tableColumn>
    <tableColumn id="6" xr3:uid="{00000000-0010-0000-0300-000006000000}" name="ott-24" totalsRowFunction="custom" dataDxfId="20" totalsRowDxfId="19">
      <totalsRowFormula>Spese[[#Totals],[ott-24]]+SUBTOTAL(109,CashPaidOut[ott-24])</totalsRowFormula>
    </tableColumn>
    <tableColumn id="7" xr3:uid="{00000000-0010-0000-0300-000007000000}" name="nov-24" totalsRowFunction="custom" dataDxfId="18" totalsRowDxfId="17">
      <totalsRowFormula>Spese[[#Totals],[nov-24]]+SUBTOTAL(109,CashPaidOut[nov-24])</totalsRowFormula>
    </tableColumn>
    <tableColumn id="8" xr3:uid="{00000000-0010-0000-0300-000008000000}" name="dic-24" totalsRowFunction="custom" dataDxfId="16" totalsRowDxfId="15">
      <totalsRowFormula>Spese[[#Totals],[dic-24]]+SUBTOTAL(109,CashPaidOut[dic-24])</totalsRowFormula>
    </tableColumn>
    <tableColumn id="9" xr3:uid="{00000000-0010-0000-0300-000009000000}" name="gen-25" totalsRowFunction="custom" dataDxfId="14" totalsRowDxfId="13">
      <totalsRowFormula>Spese[[#Totals],[gen-25]]+SUBTOTAL(109,CashPaidOut[gen-25])</totalsRowFormula>
    </tableColumn>
    <tableColumn id="10" xr3:uid="{00000000-0010-0000-0300-00000A000000}" name="feb-25" totalsRowFunction="custom" dataDxfId="12" totalsRowDxfId="11">
      <totalsRowFormula>Spese[[#Totals],[feb-25]]+SUBTOTAL(109,CashPaidOut[feb-25])</totalsRowFormula>
    </tableColumn>
    <tableColumn id="11" xr3:uid="{00000000-0010-0000-0300-00000B000000}" name="mar-25" totalsRowFunction="custom" dataDxfId="10" totalsRowDxfId="9">
      <totalsRowFormula>Spese[[#Totals],[mar-25]]+SUBTOTAL(109,CashPaidOut[mar-25])</totalsRowFormula>
    </tableColumn>
    <tableColumn id="12" xr3:uid="{00000000-0010-0000-0300-00000C000000}" name="apr-25" totalsRowFunction="custom" dataDxfId="8" totalsRowDxfId="7">
      <totalsRowFormula>Spese[[#Totals],[apr-25]]+SUBTOTAL(109,CashPaidOut[apr-25])</totalsRowFormula>
    </tableColumn>
    <tableColumn id="13" xr3:uid="{00000000-0010-0000-0300-00000D000000}" name="mag-25" totalsRowFunction="custom" dataDxfId="6" totalsRowDxfId="5">
      <totalsRowFormula>Spese[[#Totals],[mag-25]]+SUBTOTAL(109,CashPaidOut[mag-25])</totalsRowFormula>
    </tableColumn>
    <tableColumn id="14" xr3:uid="{00000000-0010-0000-0300-00000E000000}" name="giu-25" totalsRowFunction="custom" dataDxfId="4" totalsRowDxfId="3">
      <totalsRowFormula>Spese[[#Totals],[giu-25]]+SUBTOTAL(109,CashPaidOut[giu-25])</totalsRowFormula>
    </tableColumn>
    <tableColumn id="15" xr3:uid="{00000000-0010-0000-0300-00000F000000}" name="Totale" totalsRowFunction="custom" dataDxfId="2" totalsRowDxfId="1">
      <calculatedColumnFormula>SUM(D46:O46)</calculatedColumnFormula>
      <totalsRowFormula>SUM(D51:O51)</totalsRowFormula>
    </tableColumn>
  </tableColumns>
  <tableStyleInfo name="Liquidità" showFirstColumn="1" showLastColumn="0" showRowStripes="0" showColumnStripes="0"/>
  <extLst>
    <ext xmlns:x14="http://schemas.microsoft.com/office/spreadsheetml/2009/9/main" uri="{504A1905-F514-4f6f-8877-14C23A59335A}">
      <x14:table altTextSummary="Immettere o modificare elementi di Spese in contanti e i valori di ogni mese in questa tabella. Il totale di Spese in contanti e Liquidità a fine mese vengono automaticamente calcolati alla fin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P62"/>
  <sheetViews>
    <sheetView showGridLines="0" zoomScaleNormal="100" workbookViewId="0">
      <selection activeCell="B1" sqref="B1:P1"/>
    </sheetView>
  </sheetViews>
  <sheetFormatPr defaultColWidth="9.33203125" defaultRowHeight="10" x14ac:dyDescent="0.2"/>
  <cols>
    <col min="1" max="1" width="2.77734375" style="6" customWidth="1"/>
    <col min="2" max="2" width="37.77734375" style="6" customWidth="1"/>
    <col min="3" max="3" width="14.44140625" style="6" customWidth="1"/>
    <col min="4" max="10" width="11.77734375" style="6" customWidth="1"/>
    <col min="11" max="16" width="12.77734375" style="6" customWidth="1"/>
    <col min="17" max="17" width="2.77734375" style="6" customWidth="1"/>
    <col min="18" max="16384" width="9.33203125" style="6"/>
  </cols>
  <sheetData>
    <row r="1" spans="2:16" s="1" customFormat="1" ht="22.5" customHeight="1" x14ac:dyDescent="0.4">
      <c r="B1" s="84" t="s">
        <v>75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2:16" s="1" customFormat="1" ht="18" x14ac:dyDescent="0.4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2:16" s="1" customFormat="1" ht="12.5" x14ac:dyDescent="0.25">
      <c r="B3" s="12" t="s">
        <v>1</v>
      </c>
      <c r="C3" s="38">
        <f ca="1">TODAY()</f>
        <v>45369</v>
      </c>
    </row>
    <row r="4" spans="2:16" s="1" customFormat="1" ht="12.75" customHeight="1" x14ac:dyDescent="0.25">
      <c r="B4" s="12" t="s">
        <v>2</v>
      </c>
      <c r="C4" s="3">
        <v>50000</v>
      </c>
      <c r="D4" s="13">
        <f t="shared" ref="D4" si="0">Cash_minimum</f>
        <v>50000</v>
      </c>
      <c r="E4" s="13">
        <f t="shared" ref="E4:O4" si="1">Cash_minimum</f>
        <v>50000</v>
      </c>
      <c r="F4" s="13">
        <f t="shared" si="1"/>
        <v>50000</v>
      </c>
      <c r="G4" s="13">
        <f t="shared" si="1"/>
        <v>50000</v>
      </c>
      <c r="H4" s="13">
        <f t="shared" si="1"/>
        <v>50000</v>
      </c>
      <c r="I4" s="13">
        <f t="shared" si="1"/>
        <v>50000</v>
      </c>
      <c r="J4" s="13">
        <f t="shared" si="1"/>
        <v>50000</v>
      </c>
      <c r="K4" s="13">
        <f t="shared" si="1"/>
        <v>50000</v>
      </c>
      <c r="L4" s="13">
        <f t="shared" si="1"/>
        <v>50000</v>
      </c>
      <c r="M4" s="13">
        <f t="shared" si="1"/>
        <v>50000</v>
      </c>
      <c r="N4" s="13">
        <f t="shared" si="1"/>
        <v>50000</v>
      </c>
      <c r="O4" s="13">
        <f t="shared" si="1"/>
        <v>50000</v>
      </c>
    </row>
    <row r="5" spans="2:16" s="1" customFormat="1" ht="13" x14ac:dyDescent="0.3">
      <c r="B5" s="12"/>
      <c r="H5" s="4"/>
    </row>
    <row r="6" spans="2:16" ht="10.5" x14ac:dyDescent="0.25">
      <c r="B6" s="5"/>
      <c r="C6" s="23" t="s">
        <v>13</v>
      </c>
      <c r="D6" s="39" t="s">
        <v>63</v>
      </c>
      <c r="E6" s="39" t="s">
        <v>64</v>
      </c>
      <c r="F6" s="39" t="s">
        <v>65</v>
      </c>
      <c r="G6" s="39" t="s">
        <v>66</v>
      </c>
      <c r="H6" s="39" t="s">
        <v>67</v>
      </c>
      <c r="I6" s="39" t="s">
        <v>68</v>
      </c>
      <c r="J6" s="39" t="s">
        <v>69</v>
      </c>
      <c r="K6" s="39" t="s">
        <v>70</v>
      </c>
      <c r="L6" s="39" t="s">
        <v>71</v>
      </c>
      <c r="M6" s="39" t="s">
        <v>72</v>
      </c>
      <c r="N6" s="39" t="s">
        <v>73</v>
      </c>
      <c r="O6" s="39" t="s">
        <v>74</v>
      </c>
      <c r="P6" s="34" t="s">
        <v>15</v>
      </c>
    </row>
    <row r="7" spans="2:16" ht="10.5" x14ac:dyDescent="0.25">
      <c r="B7" s="7" t="s">
        <v>3</v>
      </c>
      <c r="C7" s="21">
        <v>100000</v>
      </c>
      <c r="D7" s="14">
        <f t="shared" ref="D7:O7" si="2">C52</f>
        <v>100000</v>
      </c>
      <c r="E7" s="14">
        <f t="shared" si="2"/>
        <v>-50000</v>
      </c>
      <c r="F7" s="14">
        <f t="shared" si="2"/>
        <v>-50000</v>
      </c>
      <c r="G7" s="14">
        <f t="shared" si="2"/>
        <v>-50000</v>
      </c>
      <c r="H7" s="14">
        <f t="shared" si="2"/>
        <v>-50000</v>
      </c>
      <c r="I7" s="14">
        <f t="shared" si="2"/>
        <v>-50000</v>
      </c>
      <c r="J7" s="14">
        <f t="shared" si="2"/>
        <v>-50000</v>
      </c>
      <c r="K7" s="14">
        <f t="shared" si="2"/>
        <v>-50000</v>
      </c>
      <c r="L7" s="14">
        <f t="shared" si="2"/>
        <v>-50000</v>
      </c>
      <c r="M7" s="14">
        <f t="shared" si="2"/>
        <v>-50000</v>
      </c>
      <c r="N7" s="14">
        <f t="shared" si="2"/>
        <v>-50000</v>
      </c>
      <c r="O7" s="14">
        <f t="shared" si="2"/>
        <v>-50000</v>
      </c>
      <c r="P7" s="20"/>
    </row>
    <row r="8" spans="2:16" ht="10.5" x14ac:dyDescent="0.25">
      <c r="B8" s="10"/>
    </row>
    <row r="9" spans="2:16" ht="10.5" x14ac:dyDescent="0.25">
      <c r="B9" s="17" t="s">
        <v>4</v>
      </c>
      <c r="C9" s="19" t="s">
        <v>14</v>
      </c>
      <c r="D9" s="39" t="s">
        <v>63</v>
      </c>
      <c r="E9" s="39" t="s">
        <v>64</v>
      </c>
      <c r="F9" s="39" t="s">
        <v>65</v>
      </c>
      <c r="G9" s="39" t="s">
        <v>66</v>
      </c>
      <c r="H9" s="39" t="s">
        <v>67</v>
      </c>
      <c r="I9" s="39" t="s">
        <v>68</v>
      </c>
      <c r="J9" s="39" t="s">
        <v>69</v>
      </c>
      <c r="K9" s="39" t="s">
        <v>70</v>
      </c>
      <c r="L9" s="39" t="s">
        <v>71</v>
      </c>
      <c r="M9" s="39" t="s">
        <v>72</v>
      </c>
      <c r="N9" s="39" t="s">
        <v>73</v>
      </c>
      <c r="O9" s="39" t="s">
        <v>74</v>
      </c>
      <c r="P9" s="32" t="s">
        <v>15</v>
      </c>
    </row>
    <row r="10" spans="2:16" x14ac:dyDescent="0.2">
      <c r="B10" s="40" t="s">
        <v>17</v>
      </c>
      <c r="C10" s="8"/>
      <c r="D10" s="3">
        <v>10000</v>
      </c>
      <c r="E10" s="3"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18">
        <f t="shared" ref="P10:P19" si="3">SUM(D10:O10)</f>
        <v>10000</v>
      </c>
    </row>
    <row r="11" spans="2:16" x14ac:dyDescent="0.2">
      <c r="B11" s="41" t="s">
        <v>39</v>
      </c>
      <c r="C11" s="8"/>
      <c r="D11" s="3">
        <v>10000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8">
        <f t="shared" si="3"/>
        <v>10000</v>
      </c>
    </row>
    <row r="12" spans="2:16" ht="10.5" x14ac:dyDescent="0.25">
      <c r="B12" s="41" t="s">
        <v>43</v>
      </c>
      <c r="C12" s="8"/>
      <c r="D12" s="9">
        <v>10000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/>
      <c r="K12" s="9"/>
      <c r="L12" s="9">
        <v>0</v>
      </c>
      <c r="M12" s="9"/>
      <c r="N12" s="9"/>
      <c r="O12" s="9"/>
      <c r="P12" s="18">
        <f t="shared" si="3"/>
        <v>10000</v>
      </c>
    </row>
    <row r="13" spans="2:16" ht="10.5" x14ac:dyDescent="0.25">
      <c r="B13" s="41" t="s">
        <v>44</v>
      </c>
      <c r="C13" s="48"/>
      <c r="D13" s="47">
        <v>10000</v>
      </c>
      <c r="E13" s="47"/>
      <c r="F13" s="47"/>
      <c r="G13" s="47"/>
      <c r="H13" s="47"/>
      <c r="I13" s="47"/>
      <c r="J13" s="47"/>
      <c r="K13" s="47"/>
      <c r="L13" s="47"/>
      <c r="M13" s="47">
        <v>0</v>
      </c>
      <c r="N13" s="47"/>
      <c r="O13" s="47"/>
      <c r="P13" s="18">
        <f t="shared" si="3"/>
        <v>10000</v>
      </c>
    </row>
    <row r="14" spans="2:16" x14ac:dyDescent="0.2">
      <c r="B14" s="41" t="s">
        <v>18</v>
      </c>
      <c r="C14" s="8"/>
      <c r="D14" s="47">
        <v>10000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8">
        <f t="shared" si="3"/>
        <v>10000</v>
      </c>
    </row>
    <row r="15" spans="2:16" x14ac:dyDescent="0.2">
      <c r="B15" s="41" t="s">
        <v>38</v>
      </c>
      <c r="C15" s="8"/>
      <c r="D15" s="47">
        <v>10000</v>
      </c>
      <c r="E15" s="9"/>
      <c r="F15" s="9"/>
      <c r="G15" s="9"/>
      <c r="H15" s="9"/>
      <c r="I15" s="9"/>
      <c r="J15" s="9"/>
      <c r="K15" s="9"/>
      <c r="L15" s="9"/>
      <c r="M15" s="9"/>
      <c r="N15" s="9">
        <v>0</v>
      </c>
      <c r="O15" s="9"/>
      <c r="P15" s="18">
        <f t="shared" si="3"/>
        <v>10000</v>
      </c>
    </row>
    <row r="16" spans="2:16" x14ac:dyDescent="0.2">
      <c r="B16" s="41" t="s">
        <v>40</v>
      </c>
      <c r="C16" s="50"/>
      <c r="D16" s="47">
        <v>10000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>
        <f t="shared" si="3"/>
        <v>10000</v>
      </c>
    </row>
    <row r="17" spans="2:16" x14ac:dyDescent="0.2">
      <c r="B17" s="49"/>
      <c r="C17" s="50"/>
      <c r="D17" s="47">
        <v>10000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>
        <f t="shared" si="3"/>
        <v>10000</v>
      </c>
    </row>
    <row r="18" spans="2:16" ht="10.5" x14ac:dyDescent="0.25">
      <c r="B18" s="41" t="s">
        <v>55</v>
      </c>
      <c r="C18" s="50"/>
      <c r="D18" s="47">
        <v>10000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>
        <f t="shared" si="3"/>
        <v>10000</v>
      </c>
    </row>
    <row r="19" spans="2:16" x14ac:dyDescent="0.2">
      <c r="B19" s="49" t="s">
        <v>50</v>
      </c>
      <c r="C19" s="8"/>
      <c r="D19" s="47">
        <v>10000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8">
        <f t="shared" si="3"/>
        <v>10000</v>
      </c>
    </row>
    <row r="20" spans="2:16" ht="10.5" x14ac:dyDescent="0.25">
      <c r="B20" s="71" t="s">
        <v>5</v>
      </c>
      <c r="C20" s="79"/>
      <c r="D20" s="73">
        <f>SUBTOTAL(109,CashReceipts[lug-24])</f>
        <v>100000</v>
      </c>
      <c r="E20" s="73">
        <f>SUBTOTAL(109,CashReceipts[ago-24])</f>
        <v>0</v>
      </c>
      <c r="F20" s="73">
        <f>SUBTOTAL(109,CashReceipts[set-24])</f>
        <v>0</v>
      </c>
      <c r="G20" s="73">
        <f>SUBTOTAL(109,CashReceipts[ott-24])</f>
        <v>0</v>
      </c>
      <c r="H20" s="73">
        <f>SUBTOTAL(109,CashReceipts[nov-24])</f>
        <v>0</v>
      </c>
      <c r="I20" s="73">
        <f>SUBTOTAL(109,CashReceipts[dic-24])</f>
        <v>0</v>
      </c>
      <c r="J20" s="73">
        <f>SUBTOTAL(109,CashReceipts[gen-25])</f>
        <v>0</v>
      </c>
      <c r="K20" s="73">
        <f>SUBTOTAL(109,CashReceipts[feb-25])</f>
        <v>0</v>
      </c>
      <c r="L20" s="73">
        <f>SUBTOTAL(109,CashReceipts[mar-25])</f>
        <v>0</v>
      </c>
      <c r="M20" s="73">
        <f>SUBTOTAL(109,CashReceipts[apr-25])</f>
        <v>0</v>
      </c>
      <c r="N20" s="73">
        <f>SUBTOTAL(109,CashReceipts[mag-25])</f>
        <v>0</v>
      </c>
      <c r="O20" s="73">
        <f>SUBTOTAL(109,CashReceipts[giu-25])</f>
        <v>0</v>
      </c>
      <c r="P20" s="74">
        <f>SUBTOTAL(109,CashReceipts[Totale])-CashPaidOut[[#Totals],[Totale]]</f>
        <v>-150000</v>
      </c>
    </row>
    <row r="21" spans="2:16" ht="10.5" x14ac:dyDescent="0.25">
      <c r="B21" s="7" t="s">
        <v>6</v>
      </c>
      <c r="C21" s="15">
        <f>(C7+CashReceipts[[#Totals],[ ]])</f>
        <v>100000</v>
      </c>
      <c r="D21" s="15">
        <f>(D7+CashReceipts[[#Totals],[lug-24]])</f>
        <v>200000</v>
      </c>
      <c r="E21" s="15">
        <f>(E7+CashReceipts[[#Totals],[ago-24]])</f>
        <v>-50000</v>
      </c>
      <c r="F21" s="15">
        <f>(F7+CashReceipts[[#Totals],[set-24]])</f>
        <v>-50000</v>
      </c>
      <c r="G21" s="15">
        <f>(G7+CashReceipts[[#Totals],[ott-24]])</f>
        <v>-50000</v>
      </c>
      <c r="H21" s="15">
        <f>(H7+CashReceipts[[#Totals],[nov-24]])</f>
        <v>-50000</v>
      </c>
      <c r="I21" s="15">
        <f>(I7+CashReceipts[[#Totals],[dic-24]])</f>
        <v>-50000</v>
      </c>
      <c r="J21" s="15">
        <f>(J7+CashReceipts[[#Totals],[gen-25]])</f>
        <v>-50000</v>
      </c>
      <c r="K21" s="15">
        <f>(K7+CashReceipts[[#Totals],[feb-25]])</f>
        <v>-50000</v>
      </c>
      <c r="L21" s="15">
        <f>(L7+CashReceipts[[#Totals],[mar-25]])</f>
        <v>-50000</v>
      </c>
      <c r="M21" s="15">
        <f>(M7+CashReceipts[[#Totals],[apr-25]])</f>
        <v>-50000</v>
      </c>
      <c r="N21" s="15">
        <f>(N7+CashReceipts[[#Totals],[mag-25]])</f>
        <v>-50000</v>
      </c>
      <c r="O21" s="15">
        <f>(O7+CashReceipts[[#Totals],[giu-25]])</f>
        <v>-50000</v>
      </c>
      <c r="P21" s="8"/>
    </row>
    <row r="22" spans="2:16" ht="10.5" x14ac:dyDescent="0.25">
      <c r="B22" s="3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36"/>
    </row>
    <row r="23" spans="2:16" ht="10.5" x14ac:dyDescent="0.25">
      <c r="B23" s="17" t="s">
        <v>7</v>
      </c>
      <c r="C23" s="19" t="s">
        <v>14</v>
      </c>
      <c r="D23" s="39" t="s">
        <v>63</v>
      </c>
      <c r="E23" s="39" t="s">
        <v>64</v>
      </c>
      <c r="F23" s="39" t="s">
        <v>65</v>
      </c>
      <c r="G23" s="39" t="s">
        <v>66</v>
      </c>
      <c r="H23" s="39" t="s">
        <v>67</v>
      </c>
      <c r="I23" s="39" t="s">
        <v>68</v>
      </c>
      <c r="J23" s="39" t="s">
        <v>69</v>
      </c>
      <c r="K23" s="39" t="s">
        <v>70</v>
      </c>
      <c r="L23" s="39" t="s">
        <v>71</v>
      </c>
      <c r="M23" s="39" t="s">
        <v>72</v>
      </c>
      <c r="N23" s="39" t="s">
        <v>73</v>
      </c>
      <c r="O23" s="39" t="s">
        <v>74</v>
      </c>
      <c r="P23" s="32" t="s">
        <v>15</v>
      </c>
    </row>
    <row r="24" spans="2:16" x14ac:dyDescent="0.2">
      <c r="B24" s="41" t="s">
        <v>29</v>
      </c>
      <c r="C24" s="8"/>
      <c r="D24" s="3">
        <v>10000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8">
        <f t="shared" ref="P24:P43" si="4">SUM(D24:O24)</f>
        <v>10000</v>
      </c>
    </row>
    <row r="25" spans="2:16" ht="11.25" customHeight="1" x14ac:dyDescent="0.2">
      <c r="B25" s="41" t="s">
        <v>37</v>
      </c>
      <c r="C25" s="8"/>
      <c r="D25" s="3">
        <v>10000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8">
        <f t="shared" si="4"/>
        <v>10000</v>
      </c>
    </row>
    <row r="26" spans="2:16" x14ac:dyDescent="0.2">
      <c r="B26" s="41" t="s">
        <v>42</v>
      </c>
      <c r="C26" s="8"/>
      <c r="D26" s="3">
        <v>10000</v>
      </c>
      <c r="E26" s="3">
        <v>0</v>
      </c>
      <c r="F26" s="3">
        <v>0</v>
      </c>
      <c r="G26" s="3">
        <v>0</v>
      </c>
      <c r="H26" s="3"/>
      <c r="I26" s="3"/>
      <c r="J26" s="3"/>
      <c r="K26" s="3"/>
      <c r="L26" s="3"/>
      <c r="M26" s="3"/>
      <c r="N26" s="3"/>
      <c r="O26" s="3"/>
      <c r="P26" s="18">
        <f t="shared" si="4"/>
        <v>10000</v>
      </c>
    </row>
    <row r="27" spans="2:16" x14ac:dyDescent="0.2">
      <c r="B27" s="41" t="s">
        <v>30</v>
      </c>
      <c r="C27" s="8"/>
      <c r="D27" s="3">
        <v>10000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8">
        <f t="shared" si="4"/>
        <v>10000</v>
      </c>
    </row>
    <row r="28" spans="2:16" x14ac:dyDescent="0.2">
      <c r="B28" s="41" t="s">
        <v>47</v>
      </c>
      <c r="C28" s="8"/>
      <c r="D28" s="3">
        <v>10000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8">
        <f t="shared" si="4"/>
        <v>10000</v>
      </c>
    </row>
    <row r="29" spans="2:16" x14ac:dyDescent="0.2">
      <c r="B29" s="41" t="s">
        <v>31</v>
      </c>
      <c r="C29" s="8"/>
      <c r="D29" s="3">
        <v>10000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8">
        <f t="shared" si="4"/>
        <v>10000</v>
      </c>
    </row>
    <row r="30" spans="2:16" x14ac:dyDescent="0.2">
      <c r="B30" s="53" t="s">
        <v>48</v>
      </c>
      <c r="C30" s="8"/>
      <c r="D30" s="3">
        <v>10000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8">
        <f t="shared" si="4"/>
        <v>10000</v>
      </c>
    </row>
    <row r="31" spans="2:16" x14ac:dyDescent="0.2">
      <c r="B31" s="53" t="s">
        <v>49</v>
      </c>
      <c r="C31" s="8"/>
      <c r="D31" s="3">
        <v>10000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8">
        <f t="shared" si="4"/>
        <v>10000</v>
      </c>
    </row>
    <row r="32" spans="2:16" ht="11.25" customHeight="1" x14ac:dyDescent="0.2">
      <c r="B32" s="53" t="s">
        <v>32</v>
      </c>
      <c r="C32" s="8"/>
      <c r="D32" s="3">
        <v>10000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8">
        <f t="shared" si="4"/>
        <v>10000</v>
      </c>
    </row>
    <row r="33" spans="2:16" x14ac:dyDescent="0.2">
      <c r="B33" s="53" t="s">
        <v>33</v>
      </c>
      <c r="C33" s="8"/>
      <c r="D33" s="3">
        <v>10000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8">
        <f t="shared" si="4"/>
        <v>10000</v>
      </c>
    </row>
    <row r="34" spans="2:16" x14ac:dyDescent="0.2">
      <c r="B34" s="53" t="s">
        <v>41</v>
      </c>
      <c r="C34" s="8"/>
      <c r="D34" s="3">
        <v>10000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8">
        <f t="shared" si="4"/>
        <v>10000</v>
      </c>
    </row>
    <row r="35" spans="2:16" ht="11.25" customHeight="1" x14ac:dyDescent="0.2">
      <c r="B35" s="68" t="s">
        <v>51</v>
      </c>
      <c r="C35" s="8"/>
      <c r="D35" s="3">
        <v>10000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8">
        <f t="shared" si="4"/>
        <v>10000</v>
      </c>
    </row>
    <row r="36" spans="2:16" x14ac:dyDescent="0.2">
      <c r="B36" s="53" t="s">
        <v>52</v>
      </c>
      <c r="C36" s="8"/>
      <c r="D36" s="3">
        <v>10000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8">
        <f t="shared" si="4"/>
        <v>10000</v>
      </c>
    </row>
    <row r="37" spans="2:16" x14ac:dyDescent="0.2">
      <c r="B37" s="53" t="s">
        <v>34</v>
      </c>
      <c r="C37" s="8"/>
      <c r="D37" s="3">
        <v>10000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8">
        <f t="shared" si="4"/>
        <v>10000</v>
      </c>
    </row>
    <row r="38" spans="2:16" x14ac:dyDescent="0.2">
      <c r="B38" s="53" t="s">
        <v>35</v>
      </c>
      <c r="C38" s="8"/>
      <c r="D38" s="3">
        <v>10000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8">
        <f t="shared" si="4"/>
        <v>10000</v>
      </c>
    </row>
    <row r="39" spans="2:16" x14ac:dyDescent="0.2">
      <c r="B39" s="53" t="s">
        <v>36</v>
      </c>
      <c r="C39" s="8"/>
      <c r="D39" s="3">
        <v>10000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8">
        <f t="shared" si="4"/>
        <v>10000</v>
      </c>
    </row>
    <row r="40" spans="2:16" x14ac:dyDescent="0.2">
      <c r="B40" s="53"/>
      <c r="C40" s="8"/>
      <c r="D40" s="3">
        <v>10000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8">
        <f t="shared" si="4"/>
        <v>10000</v>
      </c>
    </row>
    <row r="41" spans="2:16" x14ac:dyDescent="0.2">
      <c r="B41" s="22" t="s">
        <v>8</v>
      </c>
      <c r="C41" s="8"/>
      <c r="D41" s="3">
        <v>10000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8">
        <f t="shared" si="4"/>
        <v>10000</v>
      </c>
    </row>
    <row r="42" spans="2:16" x14ac:dyDescent="0.2">
      <c r="B42" s="53" t="s">
        <v>9</v>
      </c>
      <c r="C42" s="8"/>
      <c r="D42" s="3">
        <v>10000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8">
        <f t="shared" si="4"/>
        <v>10000</v>
      </c>
    </row>
    <row r="43" spans="2:16" x14ac:dyDescent="0.2">
      <c r="B43" s="54"/>
      <c r="C43" s="8"/>
      <c r="D43" s="3">
        <v>10000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8">
        <f t="shared" si="4"/>
        <v>10000</v>
      </c>
    </row>
    <row r="44" spans="2:16" ht="10.5" x14ac:dyDescent="0.25">
      <c r="B44" s="71" t="s">
        <v>10</v>
      </c>
      <c r="C44" s="72"/>
      <c r="D44" s="73">
        <f>SUBTOTAL(109,Spese[lug-24])</f>
        <v>200000</v>
      </c>
      <c r="E44" s="73">
        <f>SUBTOTAL(109,Spese[ago-24])</f>
        <v>0</v>
      </c>
      <c r="F44" s="73">
        <f>SUBTOTAL(109,Spese[set-24])</f>
        <v>0</v>
      </c>
      <c r="G44" s="73">
        <f>SUBTOTAL(109,Spese[ott-24])</f>
        <v>0</v>
      </c>
      <c r="H44" s="73">
        <f>SUBTOTAL(109,Spese[nov-24])</f>
        <v>0</v>
      </c>
      <c r="I44" s="73">
        <f>SUBTOTAL(109,Spese[dic-24])</f>
        <v>0</v>
      </c>
      <c r="J44" s="73">
        <f>SUBTOTAL(109,Spese[gen-25])</f>
        <v>0</v>
      </c>
      <c r="K44" s="73">
        <f>SUBTOTAL(109,Spese[feb-25])</f>
        <v>0</v>
      </c>
      <c r="L44" s="73">
        <f>SUBTOTAL(109,Spese[mar-25])</f>
        <v>0</v>
      </c>
      <c r="M44" s="73">
        <f>SUBTOTAL(109,Spese[apr-25])</f>
        <v>0</v>
      </c>
      <c r="N44" s="73">
        <f>SUBTOTAL(109,Spese[mag-25])</f>
        <v>0</v>
      </c>
      <c r="O44" s="73">
        <f>SUBTOTAL(109,Spese[giu-25])</f>
        <v>0</v>
      </c>
      <c r="P44" s="74">
        <f>SUBTOTAL(109,Spese[Totale])</f>
        <v>200000</v>
      </c>
    </row>
    <row r="45" spans="2:16" ht="10.5" x14ac:dyDescent="0.25">
      <c r="B45" s="29" t="s">
        <v>7</v>
      </c>
      <c r="C45" s="28" t="s">
        <v>14</v>
      </c>
      <c r="D45" s="39" t="s">
        <v>63</v>
      </c>
      <c r="E45" s="39" t="s">
        <v>64</v>
      </c>
      <c r="F45" s="39" t="s">
        <v>65</v>
      </c>
      <c r="G45" s="39" t="s">
        <v>66</v>
      </c>
      <c r="H45" s="39" t="s">
        <v>67</v>
      </c>
      <c r="I45" s="39" t="s">
        <v>68</v>
      </c>
      <c r="J45" s="39" t="s">
        <v>69</v>
      </c>
      <c r="K45" s="39" t="s">
        <v>70</v>
      </c>
      <c r="L45" s="39" t="s">
        <v>71</v>
      </c>
      <c r="M45" s="39" t="s">
        <v>72</v>
      </c>
      <c r="N45" s="39" t="s">
        <v>73</v>
      </c>
      <c r="O45" s="39" t="s">
        <v>74</v>
      </c>
      <c r="P45" s="33" t="s">
        <v>15</v>
      </c>
    </row>
    <row r="46" spans="2:16" x14ac:dyDescent="0.2">
      <c r="B46" s="27" t="s">
        <v>46</v>
      </c>
      <c r="C46" s="24"/>
      <c r="D46" s="25">
        <v>10000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>
        <f t="shared" ref="P46:P51" si="5">SUM(D46:O46)</f>
        <v>10000</v>
      </c>
    </row>
    <row r="47" spans="2:16" x14ac:dyDescent="0.2">
      <c r="B47" s="22" t="s">
        <v>45</v>
      </c>
      <c r="C47" s="24"/>
      <c r="D47" s="25">
        <v>10000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6">
        <f t="shared" si="5"/>
        <v>10000</v>
      </c>
    </row>
    <row r="48" spans="2:16" x14ac:dyDescent="0.2">
      <c r="B48" s="27" t="s">
        <v>53</v>
      </c>
      <c r="C48" s="24"/>
      <c r="D48" s="25">
        <v>10000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>
        <v>0</v>
      </c>
      <c r="P48" s="26">
        <f t="shared" si="5"/>
        <v>10000</v>
      </c>
    </row>
    <row r="49" spans="2:16" ht="11.25" customHeight="1" x14ac:dyDescent="0.2">
      <c r="B49" s="67" t="s">
        <v>54</v>
      </c>
      <c r="C49" s="24"/>
      <c r="D49" s="25">
        <v>10000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>
        <f t="shared" si="5"/>
        <v>10000</v>
      </c>
    </row>
    <row r="50" spans="2:16" x14ac:dyDescent="0.2">
      <c r="B50" s="27" t="s">
        <v>61</v>
      </c>
      <c r="C50" s="24"/>
      <c r="D50" s="25">
        <v>10000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>
        <f t="shared" si="5"/>
        <v>10000</v>
      </c>
    </row>
    <row r="51" spans="2:16" ht="10.5" x14ac:dyDescent="0.25">
      <c r="B51" s="75" t="s">
        <v>11</v>
      </c>
      <c r="C51" s="76"/>
      <c r="D51" s="77">
        <f>Spese[[#Totals],[lug-24]]+SUBTOTAL(109,CashPaidOut[lug-24])</f>
        <v>250000</v>
      </c>
      <c r="E51" s="77">
        <f>Spese[[#Totals],[ago-24]]+SUBTOTAL(109,CashPaidOut[ago-24])</f>
        <v>0</v>
      </c>
      <c r="F51" s="77">
        <f>Spese[[#Totals],[set-24]]+SUBTOTAL(109,CashPaidOut[set-24])</f>
        <v>0</v>
      </c>
      <c r="G51" s="78">
        <f>Spese[[#Totals],[ott-24]]+SUBTOTAL(109,CashPaidOut[ott-24])</f>
        <v>0</v>
      </c>
      <c r="H51" s="78">
        <f>Spese[[#Totals],[nov-24]]+SUBTOTAL(109,CashPaidOut[nov-24])</f>
        <v>0</v>
      </c>
      <c r="I51" s="78">
        <f>Spese[[#Totals],[dic-24]]+SUBTOTAL(109,CashPaidOut[dic-24])</f>
        <v>0</v>
      </c>
      <c r="J51" s="78">
        <f>Spese[[#Totals],[gen-25]]+SUBTOTAL(109,CashPaidOut[gen-25])</f>
        <v>0</v>
      </c>
      <c r="K51" s="78">
        <f>Spese[[#Totals],[feb-25]]+SUBTOTAL(109,CashPaidOut[feb-25])</f>
        <v>0</v>
      </c>
      <c r="L51" s="78">
        <f>Spese[[#Totals],[mar-25]]+SUBTOTAL(109,CashPaidOut[mar-25])</f>
        <v>0</v>
      </c>
      <c r="M51" s="78">
        <f>Spese[[#Totals],[apr-25]]+SUBTOTAL(109,CashPaidOut[apr-25])</f>
        <v>0</v>
      </c>
      <c r="N51" s="78">
        <f>Spese[[#Totals],[mag-25]]+SUBTOTAL(109,CashPaidOut[mag-25])</f>
        <v>0</v>
      </c>
      <c r="O51" s="78">
        <f>Spese[[#Totals],[giu-25]]+SUBTOTAL(109,CashPaidOut[giu-25])</f>
        <v>0</v>
      </c>
      <c r="P51" s="77">
        <f t="shared" si="5"/>
        <v>250000</v>
      </c>
    </row>
    <row r="52" spans="2:16" ht="10.5" x14ac:dyDescent="0.25">
      <c r="B52" s="30" t="s">
        <v>12</v>
      </c>
      <c r="C52" s="18">
        <f>C21</f>
        <v>100000</v>
      </c>
      <c r="D52" s="18">
        <f>D21-CashPaidOut[[#Totals],[lug-24]]</f>
        <v>-50000</v>
      </c>
      <c r="E52" s="18">
        <f>E21-CashPaidOut[[#Totals],[ago-24]]</f>
        <v>-50000</v>
      </c>
      <c r="F52" s="18">
        <f>F21-CashPaidOut[[#Totals],[set-24]]</f>
        <v>-50000</v>
      </c>
      <c r="G52" s="18">
        <f>G21-CashPaidOut[[#Totals],[ott-24]]</f>
        <v>-50000</v>
      </c>
      <c r="H52" s="18">
        <f>H21-CashPaidOut[[#Totals],[nov-24]]</f>
        <v>-50000</v>
      </c>
      <c r="I52" s="18">
        <f>I21-CashPaidOut[[#Totals],[dic-24]]</f>
        <v>-50000</v>
      </c>
      <c r="J52" s="18">
        <f>J21-CashPaidOut[[#Totals],[gen-25]]</f>
        <v>-50000</v>
      </c>
      <c r="K52" s="18">
        <f>K21-CashPaidOut[[#Totals],[feb-25]]</f>
        <v>-50000</v>
      </c>
      <c r="L52" s="18">
        <f>L21-CashPaidOut[[#Totals],[mar-25]]</f>
        <v>-50000</v>
      </c>
      <c r="M52" s="18">
        <f>M21-CashPaidOut[[#Totals],[apr-25]]</f>
        <v>-50000</v>
      </c>
      <c r="N52" s="18">
        <f>N21-CashPaidOut[[#Totals],[mag-25]]</f>
        <v>-50000</v>
      </c>
      <c r="O52" s="18">
        <f>O21-CashPaidOut[[#Totals],[giu-25]]</f>
        <v>-50000</v>
      </c>
      <c r="P52" s="31"/>
    </row>
    <row r="53" spans="2:16" ht="10.5" x14ac:dyDescent="0.25"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5" spans="2:16" ht="10.5" x14ac:dyDescent="0.25">
      <c r="B55" s="85" t="s">
        <v>19</v>
      </c>
      <c r="C55" s="85"/>
      <c r="D55" s="43"/>
      <c r="E55" s="42"/>
      <c r="F55" s="42"/>
      <c r="G55" s="42"/>
      <c r="H55" s="44"/>
      <c r="I55" s="42"/>
    </row>
    <row r="56" spans="2:16" x14ac:dyDescent="0.2">
      <c r="B56" s="80" t="s">
        <v>20</v>
      </c>
      <c r="C56" s="80"/>
      <c r="D56" s="80"/>
      <c r="E56" s="45"/>
      <c r="L56" s="86" t="s">
        <v>62</v>
      </c>
      <c r="M56" s="87"/>
      <c r="N56" s="87"/>
      <c r="O56" s="87"/>
    </row>
    <row r="57" spans="2:16" x14ac:dyDescent="0.2">
      <c r="B57" s="80"/>
      <c r="C57" s="80"/>
      <c r="D57" s="80"/>
      <c r="E57" s="45"/>
      <c r="L57" s="87"/>
      <c r="M57" s="87"/>
      <c r="N57" s="87"/>
      <c r="O57" s="87"/>
    </row>
    <row r="58" spans="2:16" x14ac:dyDescent="0.2">
      <c r="B58" s="46"/>
      <c r="C58" s="46"/>
      <c r="D58" s="46"/>
      <c r="E58" s="45"/>
      <c r="L58" s="45"/>
      <c r="M58" s="45"/>
      <c r="N58" s="45"/>
      <c r="O58" s="44"/>
    </row>
    <row r="59" spans="2:16" ht="10.5" x14ac:dyDescent="0.25">
      <c r="B59" s="80" t="s">
        <v>21</v>
      </c>
      <c r="C59" s="80"/>
      <c r="D59" s="80"/>
      <c r="E59" s="42"/>
      <c r="L59" s="82" t="s">
        <v>22</v>
      </c>
      <c r="M59" s="82"/>
      <c r="N59" s="82"/>
      <c r="O59" s="82"/>
    </row>
    <row r="60" spans="2:16" x14ac:dyDescent="0.2">
      <c r="B60" s="83" t="s">
        <v>23</v>
      </c>
      <c r="C60" s="83"/>
      <c r="D60" s="83"/>
      <c r="E60" s="44"/>
      <c r="L60" s="80" t="s">
        <v>24</v>
      </c>
      <c r="M60" s="80"/>
      <c r="N60" s="80"/>
      <c r="O60" s="80"/>
    </row>
    <row r="61" spans="2:16" ht="10.5" x14ac:dyDescent="0.25">
      <c r="B61" s="80" t="s">
        <v>25</v>
      </c>
      <c r="C61" s="80"/>
      <c r="D61" s="80"/>
      <c r="E61" s="42"/>
      <c r="L61" s="82" t="s">
        <v>26</v>
      </c>
      <c r="M61" s="82"/>
      <c r="N61" s="82"/>
      <c r="O61" s="82"/>
    </row>
    <row r="62" spans="2:16" ht="10.5" x14ac:dyDescent="0.25">
      <c r="B62" s="80" t="s">
        <v>27</v>
      </c>
      <c r="C62" s="80"/>
      <c r="D62" s="80"/>
      <c r="E62" s="42"/>
      <c r="L62" s="81" t="s">
        <v>28</v>
      </c>
      <c r="M62" s="81"/>
      <c r="N62" s="81"/>
      <c r="O62" s="81"/>
    </row>
  </sheetData>
  <sheetProtection insertColumns="0" insertRows="0"/>
  <protectedRanges>
    <protectedRange sqref="B57:B62 L56 O61 C58:D62 L57:M58 L59:L61 N56:O59 E61:E62 L62:M62 N60:N62 B55:I55 E56:E59" name="Intervallo4"/>
  </protectedRanges>
  <mergeCells count="13">
    <mergeCell ref="B1:P1"/>
    <mergeCell ref="B2:P2"/>
    <mergeCell ref="B55:C55"/>
    <mergeCell ref="B56:D57"/>
    <mergeCell ref="L56:O57"/>
    <mergeCell ref="B62:D62"/>
    <mergeCell ref="L62:O62"/>
    <mergeCell ref="B59:D59"/>
    <mergeCell ref="L59:O59"/>
    <mergeCell ref="B60:D60"/>
    <mergeCell ref="L60:O60"/>
    <mergeCell ref="B61:D61"/>
    <mergeCell ref="L61:O61"/>
  </mergeCells>
  <phoneticPr fontId="0" type="noConversion"/>
  <conditionalFormatting sqref="C7:O7">
    <cfRule type="cellIs" dxfId="0" priority="1" stopIfTrue="1" operator="lessThanOrEqual">
      <formula>$C$4</formula>
    </cfRule>
  </conditionalFormatting>
  <dataValidations count="23">
    <dataValidation type="decimal" allowBlank="1" showInputMessage="1" sqref="C7 D4:P4" xr:uid="{00000000-0002-0000-0000-000000000000}">
      <formula1>-10000000</formula1>
      <formula2>10000000</formula2>
    </dataValidation>
    <dataValidation type="decimal" operator="lessThanOrEqual" allowBlank="1" showInputMessage="1" showErrorMessage="1" sqref="C21:O21 C52:O52" xr:uid="{00000000-0002-0000-0000-000001000000}">
      <formula1>10000000</formula1>
    </dataValidation>
    <dataValidation type="date" allowBlank="1" showInputMessage="1" showErrorMessage="1" error="Immettere una data valida." prompt="Immettere la data di inizio in questa cella." sqref="C3" xr:uid="{00000000-0002-0000-0000-000002000000}">
      <formula1>1</formula1>
      <formula2>73415</formula2>
    </dataValidation>
    <dataValidation type="decimal" operator="lessThanOrEqual" allowBlank="1" showInputMessage="1" sqref="D7:O7" xr:uid="{00000000-0002-0000-0000-000003000000}">
      <formula1>10000000</formula1>
    </dataValidation>
    <dataValidation type="decimal" errorStyle="warning" operator="lessThanOrEqual" allowBlank="1" showInputMessage="1" showErrorMessage="1" error="Immettere un numero maggiore di zero" sqref="P46:P50 P10:P19 P24:P43" xr:uid="{00000000-0002-0000-0000-000004000000}">
      <formula1>10000000</formula1>
    </dataValidation>
    <dataValidation allowBlank="1" showInputMessage="1" showErrorMessage="1" prompt="Creare una proiezione del flusso di cassa per piccole aziende nel foglio di lavoro. Immettere informazioni in tabelle denominate Liquidità, Incassi, Spese, Pagamenti in contanti e Altri dati operativi " sqref="A1" xr:uid="{00000000-0002-0000-0000-000005000000}"/>
    <dataValidation allowBlank="1" showInputMessage="1" showErrorMessage="1" prompt="Il titolo di questo foglio di lavoro si trova in questa cella. Immettere il nome della società nella cella sottostante" sqref="B1:P1" xr:uid="{00000000-0002-0000-0000-000006000000}"/>
    <dataValidation allowBlank="1" showInputMessage="1" showErrorMessage="1" prompt="Immettere il Nome della società in questa cella, la data di inizio nella cella C3 e l’avviso minimo per il saldo di cassa nella cella C4" sqref="B2:P2" xr:uid="{00000000-0002-0000-0000-000007000000}"/>
    <dataValidation allowBlank="1" showInputMessage="1" showErrorMessage="1" prompt="Immettere la data di inizio nella cella a destra" sqref="B3" xr:uid="{00000000-0002-0000-0000-000008000000}"/>
    <dataValidation allowBlank="1" showInputMessage="1" showErrorMessage="1" prompt="Immettere l’avviso minimo per il saldo di cassa nella cella a destra" sqref="B4" xr:uid="{00000000-0002-0000-0000-000009000000}"/>
    <dataValidation type="decimal" operator="lessThanOrEqual" allowBlank="1" showInputMessage="1" showErrorMessage="1" error="Immettere un numero maggiore di zero." prompt="Immettere l’avviso minimo per il saldo di cassa in questa cella e i dettagli in Liquidità nella tabella partendo dalla cella C6. L’etichetta Disponibilità di cassa inizio mese si trova nella cella B7" sqref="C4" xr:uid="{00000000-0002-0000-0000-00000A000000}">
      <formula1>10000000</formula1>
    </dataValidation>
    <dataValidation allowBlank="1" showInputMessage="1" showErrorMessage="1" prompt="Immettere i dettagli nella tabella a destra" sqref="B6" xr:uid="{00000000-0002-0000-0000-00000B000000}"/>
    <dataValidation allowBlank="1" showInputMessage="1" showErrorMessage="1" prompt="Inserire Disponibilità di cassa inizio mese nella cella a destra" sqref="B7" xr:uid="{00000000-0002-0000-0000-00000C000000}"/>
    <dataValidation operator="greaterThanOrEqual" allowBlank="1" showInputMessage="1" showErrorMessage="1" error="Immettere un numero maggiore di zero." prompt="Immettere Disponibilità di cassa in inizio nella cella sottostante" sqref="C6" xr:uid="{00000000-0002-0000-0000-00000D000000}"/>
    <dataValidation allowBlank="1" showInputMessage="1" prompt="Dispinibilità di cassa è calcolata automaticamente per il mese in corso nella cella sottostante" sqref="D6:O6 D45:O45 D23:O23 D9:O9" xr:uid="{00000000-0002-0000-0000-00000E000000}"/>
    <dataValidation allowBlank="1" showInputMessage="1" showErrorMessage="1" prompt="Immettere i dettagli nella tabella incassi sottostante" sqref="B8" xr:uid="{00000000-0002-0000-0000-00000F000000}"/>
    <dataValidation allowBlank="1" showInputMessage="1" showErrorMessage="1" prompt="Immettere o modificare le voci relative agli incassi in questa colonna sotto questa intestazione" sqref="B9" xr:uid="{00000000-0002-0000-0000-000010000000}"/>
    <dataValidation allowBlank="1" showInputMessage="1" prompt="Il totale viene calcolato automaticamente in questa colonna sotto questa intestazione. Incassi totali e totale contanti disponibili vengono automaticamente calcolati alla fine" sqref="P9" xr:uid="{00000000-0002-0000-0000-000011000000}"/>
    <dataValidation allowBlank="1" showInputMessage="1" showErrorMessage="1" prompt="Immettere i dettagli nella tabella Spese sottostante e nella tabella Spese in contanti partendo dalla cella B46" sqref="B22" xr:uid="{00000000-0002-0000-0000-000012000000}"/>
    <dataValidation allowBlank="1" showInputMessage="1" showErrorMessage="1" prompt="Immettere o modificare le voci relative alle spese in contanti in questa colonna sotto questa intestazione" sqref="B23 B45" xr:uid="{00000000-0002-0000-0000-000013000000}"/>
    <dataValidation allowBlank="1" showInputMessage="1" showErrorMessage="1" prompt="Il totale viene calcolato automaticamente in questa colonna sotto questa intestazione. Il subtotale viene calcolato automaticamente alla fine" sqref="P23" xr:uid="{00000000-0002-0000-0000-000014000000}"/>
    <dataValidation allowBlank="1" showInputMessage="1" showErrorMessage="1" prompt="Il totale viene calcolato automaticamente in questa colonna sotto questa intestazione. Il Totale spese in contanti e Disponibilità di cassa alla fine del mese vengono automaticamente calcolati alla fine" sqref="P45" xr:uid="{00000000-0002-0000-0000-000015000000}"/>
    <dataValidation type="decimal" allowBlank="1" showInputMessage="1" showErrorMessage="1" sqref="D46:O50 D10:O19 D24:O43" xr:uid="{00000000-0002-0000-0000-000016000000}">
      <formula1>-10000000</formula1>
      <formula2>10000000</formula2>
    </dataValidation>
  </dataValidations>
  <printOptions horizontalCentered="1"/>
  <pageMargins left="0" right="0" top="0.5" bottom="0.25" header="0" footer="0"/>
  <pageSetup paperSize="9" scale="78" orientation="landscape" r:id="rId1"/>
  <headerFooter alignWithMargins="0"/>
  <ignoredErrors>
    <ignoredError sqref="P24:P42 P43" emptyCellReference="1"/>
  </ignoredErrors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workbookViewId="0">
      <selection activeCell="D1" sqref="D1"/>
    </sheetView>
  </sheetViews>
  <sheetFormatPr defaultRowHeight="10" x14ac:dyDescent="0.2"/>
  <cols>
    <col min="1" max="1" width="8.88671875" style="55"/>
    <col min="2" max="2" width="35.109375" customWidth="1"/>
    <col min="3" max="3" width="20" customWidth="1"/>
    <col min="4" max="4" width="19.44140625" customWidth="1"/>
  </cols>
  <sheetData>
    <row r="1" spans="1:4" ht="19.5" customHeight="1" x14ac:dyDescent="0.25">
      <c r="A1" s="56"/>
      <c r="B1" s="57" t="s">
        <v>56</v>
      </c>
      <c r="C1" s="57" t="s">
        <v>60</v>
      </c>
      <c r="D1" s="57" t="s">
        <v>57</v>
      </c>
    </row>
    <row r="2" spans="1:4" ht="12.5" x14ac:dyDescent="0.25">
      <c r="A2" s="56">
        <v>1</v>
      </c>
      <c r="B2" s="58"/>
      <c r="C2" s="58"/>
      <c r="D2" s="60">
        <v>0</v>
      </c>
    </row>
    <row r="3" spans="1:4" ht="12.5" x14ac:dyDescent="0.25">
      <c r="A3" s="56">
        <v>2</v>
      </c>
      <c r="B3" s="58"/>
      <c r="C3" s="58"/>
      <c r="D3" s="61">
        <v>0</v>
      </c>
    </row>
    <row r="4" spans="1:4" ht="12.5" x14ac:dyDescent="0.25">
      <c r="A4" s="56">
        <v>3</v>
      </c>
      <c r="B4" s="58"/>
      <c r="C4" s="58"/>
      <c r="D4" s="61"/>
    </row>
    <row r="5" spans="1:4" ht="12.5" x14ac:dyDescent="0.25">
      <c r="A5" s="56">
        <v>4</v>
      </c>
      <c r="B5" s="58"/>
      <c r="C5" s="58"/>
      <c r="D5" s="61">
        <v>0</v>
      </c>
    </row>
    <row r="6" spans="1:4" ht="12.5" x14ac:dyDescent="0.25">
      <c r="A6" s="56">
        <v>5</v>
      </c>
      <c r="B6" s="58"/>
      <c r="C6" s="58"/>
      <c r="D6" s="61"/>
    </row>
    <row r="7" spans="1:4" ht="12.5" x14ac:dyDescent="0.25">
      <c r="A7" s="56">
        <v>6</v>
      </c>
      <c r="B7" s="58"/>
      <c r="C7" s="58"/>
      <c r="D7" s="61"/>
    </row>
    <row r="8" spans="1:4" ht="12.5" x14ac:dyDescent="0.25">
      <c r="A8" s="56">
        <v>7</v>
      </c>
      <c r="B8" s="58"/>
      <c r="C8" s="58"/>
      <c r="D8" s="61"/>
    </row>
    <row r="9" spans="1:4" ht="12.5" x14ac:dyDescent="0.25">
      <c r="A9" s="56">
        <v>8</v>
      </c>
      <c r="B9" s="58"/>
      <c r="C9" s="58"/>
      <c r="D9" s="61"/>
    </row>
    <row r="10" spans="1:4" ht="12.5" x14ac:dyDescent="0.25">
      <c r="A10" s="56">
        <v>9</v>
      </c>
      <c r="B10" s="58"/>
      <c r="C10" s="58"/>
      <c r="D10" s="61"/>
    </row>
    <row r="11" spans="1:4" ht="12.5" x14ac:dyDescent="0.25">
      <c r="A11" s="56">
        <v>10</v>
      </c>
      <c r="B11" s="58"/>
      <c r="C11" s="58"/>
      <c r="D11" s="61"/>
    </row>
    <row r="12" spans="1:4" ht="12.5" x14ac:dyDescent="0.25">
      <c r="A12" s="56">
        <v>11</v>
      </c>
      <c r="B12" s="58"/>
      <c r="C12" s="58"/>
      <c r="D12" s="61"/>
    </row>
    <row r="13" spans="1:4" ht="12.5" x14ac:dyDescent="0.25">
      <c r="A13" s="56">
        <v>12</v>
      </c>
      <c r="B13" s="58"/>
      <c r="C13" s="58"/>
      <c r="D13" s="61"/>
    </row>
    <row r="14" spans="1:4" ht="12.5" x14ac:dyDescent="0.25">
      <c r="A14" s="56">
        <v>13</v>
      </c>
      <c r="B14" s="58"/>
      <c r="C14" s="58"/>
      <c r="D14" s="61"/>
    </row>
    <row r="15" spans="1:4" ht="12.5" x14ac:dyDescent="0.25">
      <c r="A15" s="56">
        <v>14</v>
      </c>
      <c r="B15" s="58"/>
      <c r="C15" s="58"/>
      <c r="D15" s="61"/>
    </row>
    <row r="16" spans="1:4" ht="13" thickBot="1" x14ac:dyDescent="0.3">
      <c r="A16" s="56">
        <v>15</v>
      </c>
      <c r="B16" s="58"/>
      <c r="C16" s="58"/>
      <c r="D16" s="62"/>
    </row>
    <row r="17" spans="1:4" ht="13" thickBot="1" x14ac:dyDescent="0.3">
      <c r="A17" s="57" t="s">
        <v>58</v>
      </c>
      <c r="D17" s="63">
        <f>SUM(D2:D16)</f>
        <v>0</v>
      </c>
    </row>
    <row r="18" spans="1:4" ht="13" thickBot="1" x14ac:dyDescent="0.3">
      <c r="D18" s="64">
        <v>500000</v>
      </c>
    </row>
    <row r="19" spans="1:4" ht="13" thickBot="1" x14ac:dyDescent="0.3">
      <c r="D19" s="65"/>
    </row>
    <row r="20" spans="1:4" ht="22" thickBot="1" x14ac:dyDescent="0.35">
      <c r="B20" s="59" t="s">
        <v>59</v>
      </c>
      <c r="D20" s="66">
        <f>SUM(D18-D17)/2</f>
        <v>250000</v>
      </c>
    </row>
    <row r="21" spans="1:4" ht="12.5" x14ac:dyDescent="0.25">
      <c r="D21" s="65"/>
    </row>
    <row r="22" spans="1:4" ht="12.5" x14ac:dyDescent="0.25">
      <c r="D22" s="65"/>
    </row>
    <row r="23" spans="1:4" ht="12.5" x14ac:dyDescent="0.25">
      <c r="D23" s="65"/>
    </row>
    <row r="24" spans="1:4" ht="12.5" x14ac:dyDescent="0.25">
      <c r="D24" s="65"/>
    </row>
    <row r="25" spans="1:4" ht="12.5" x14ac:dyDescent="0.25">
      <c r="D25" s="65"/>
    </row>
    <row r="26" spans="1:4" ht="12.5" x14ac:dyDescent="0.25">
      <c r="D26" s="65"/>
    </row>
    <row r="27" spans="1:4" ht="13" x14ac:dyDescent="0.3">
      <c r="B27" s="69"/>
      <c r="D27" s="7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2:Q38"/>
  <sheetViews>
    <sheetView showGridLines="0" tabSelected="1" workbookViewId="0">
      <selection activeCell="J43" sqref="J43"/>
    </sheetView>
  </sheetViews>
  <sheetFormatPr defaultColWidth="9.33203125" defaultRowHeight="10" x14ac:dyDescent="0.2"/>
  <cols>
    <col min="1" max="1" width="9.33203125" style="6"/>
    <col min="2" max="2" width="30.109375" style="6" customWidth="1"/>
    <col min="3" max="3" width="9.33203125" style="6"/>
    <col min="4" max="4" width="13.33203125" style="6" customWidth="1"/>
    <col min="5" max="16384" width="9.33203125" style="6"/>
  </cols>
  <sheetData>
    <row r="2" spans="2:17" x14ac:dyDescent="0.2">
      <c r="B2" s="89" t="s">
        <v>16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2:17" x14ac:dyDescent="0.2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2:17" x14ac:dyDescent="0.2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2:17" x14ac:dyDescent="0.2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2:17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</row>
    <row r="7" spans="2:17" x14ac:dyDescent="0.2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2:17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2:17" x14ac:dyDescent="0.2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2:17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</row>
    <row r="11" spans="2:17" x14ac:dyDescent="0.2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</row>
    <row r="12" spans="2:17" x14ac:dyDescent="0.2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2:17" x14ac:dyDescent="0.2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2:17" x14ac:dyDescent="0.2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2:17" x14ac:dyDescent="0.2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2:17" x14ac:dyDescent="0.2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7" x14ac:dyDescent="0.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 x14ac:dyDescent="0.2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2:17" x14ac:dyDescent="0.2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2:17" x14ac:dyDescent="0.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2:17" x14ac:dyDescent="0.2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2:17" x14ac:dyDescent="0.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2:17" x14ac:dyDescent="0.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 x14ac:dyDescent="0.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2:17" x14ac:dyDescent="0.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17" x14ac:dyDescent="0.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2:17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7" x14ac:dyDescent="0.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2:17" x14ac:dyDescent="0.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2:17" x14ac:dyDescent="0.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2:17" x14ac:dyDescent="0.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2:17" x14ac:dyDescent="0.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2:17" x14ac:dyDescent="0.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2:17" x14ac:dyDescent="0.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2:17" x14ac:dyDescent="0.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7" spans="2:17" ht="13" x14ac:dyDescent="0.3">
      <c r="B37" s="88" t="s">
        <v>2</v>
      </c>
      <c r="C37" s="88"/>
      <c r="D37" s="37">
        <f>[0]!Cash_minimum</f>
        <v>50000</v>
      </c>
    </row>
    <row r="38" spans="2:17" ht="12.5" x14ac:dyDescent="0.25">
      <c r="B38" s="2"/>
      <c r="C38" s="16"/>
    </row>
  </sheetData>
  <mergeCells count="2">
    <mergeCell ref="B37:C37"/>
    <mergeCell ref="B2:Q35"/>
  </mergeCells>
  <phoneticPr fontId="3" type="noConversion"/>
  <dataValidations count="3">
    <dataValidation allowBlank="1" showInputMessage="1" showErrorMessage="1" prompt="Il grafico nella cella B2 e l’avviso minimo per il saldo di cassa nella cella D37 vengono automaticamente aggiornati nel foglio di lavoro" sqref="A1" xr:uid="{00000000-0002-0000-0200-000000000000}"/>
    <dataValidation allowBlank="1" showInputMessage="1" showErrorMessage="1" prompt="L’avviso minimo per il saldo di cassa viene automaticamente aggiornato nella cella a destra " sqref="B37:C37" xr:uid="{00000000-0002-0000-0200-000001000000}"/>
    <dataValidation allowBlank="1" showInputMessage="1" showErrorMessage="1" prompt="L’avviso minimo per il saldo di cassa viene automaticamente aggiornato in questa cella " sqref="D37" xr:uid="{00000000-0002-0000-0200-000002000000}"/>
  </dataValidations>
  <pageMargins left="0.75" right="0.75" top="1" bottom="1" header="0.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4C4479EFD3B24F86FC24F4FE284C7B" ma:contentTypeVersion="13" ma:contentTypeDescription="Creare un nuovo documento." ma:contentTypeScope="" ma:versionID="d525739d1174f5d6ac04ea892708ba24">
  <xsd:schema xmlns:xsd="http://www.w3.org/2001/XMLSchema" xmlns:xs="http://www.w3.org/2001/XMLSchema" xmlns:p="http://schemas.microsoft.com/office/2006/metadata/properties" xmlns:ns2="73fc121d-478b-4873-b523-c183757e6b6f" xmlns:ns3="025f1e6c-4558-49e7-a279-55a2e891f489" targetNamespace="http://schemas.microsoft.com/office/2006/metadata/properties" ma:root="true" ma:fieldsID="042e669df173b179ef106b2917f08e7e" ns2:_="" ns3:_="">
    <xsd:import namespace="73fc121d-478b-4873-b523-c183757e6b6f"/>
    <xsd:import namespace="025f1e6c-4558-49e7-a279-55a2e891f4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c121d-478b-4873-b523-c183757e6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2970a99c-cfdd-448c-bca4-a281b9d001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f1e6c-4558-49e7-a279-55a2e891f48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fc121d-478b-4873-b523-c183757e6b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CF192F-3929-4971-A1C1-5115631BD0E0}"/>
</file>

<file path=customXml/itemProps2.xml><?xml version="1.0" encoding="utf-8"?>
<ds:datastoreItem xmlns:ds="http://schemas.openxmlformats.org/officeDocument/2006/customXml" ds:itemID="{863D64DB-3A2E-4E7A-AABA-D3030C824D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E6D7E-13F1-464C-9225-372C9DE461E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1af3243-3dd4-4a8d-8c0d-dd76da1f02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Budget Flusso di cassa</vt:lpstr>
      <vt:lpstr>Contratti depositati</vt:lpstr>
      <vt:lpstr>Grafico Flusso di cassa</vt:lpstr>
      <vt:lpstr>Cash_beginning</vt:lpstr>
      <vt:lpstr>Cash_minimum</vt:lpstr>
      <vt:lpstr>Data_iniziale</vt:lpstr>
      <vt:lpstr>Nome_Società</vt:lpstr>
      <vt:lpstr>'Budget Flusso di cassa'!Titoli_stampa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2019-03-04T05:37:55Z</dcterms:created>
  <dcterms:modified xsi:type="dcterms:W3CDTF">2024-03-18T17:07:48Z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0x010100AD4C4479EFD3B24F86FC24F4FE284C7B</vt:lpwstr>
  </property>
  <property fmtid="{D5CDD505-2E9C-101B-9397-08002B2CF9AE}" pid="3" name="MediaServiceImageTags">
    <vt:lpwstr/>
  </property>
</Properties>
</file>